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480" windowWidth="12240" windowHeight="8820" firstSheet="10" activeTab="11"/>
  </bookViews>
  <sheets>
    <sheet name="2013-2014 Budget 31July14" sheetId="17" r:id="rId1"/>
    <sheet name="Cash Position as of 31July14" sheetId="16" r:id="rId2"/>
    <sheet name="Cash Position as of 31May14" sheetId="15" r:id="rId3"/>
    <sheet name="2013-2014 Budget 31May14" sheetId="14" r:id="rId4"/>
    <sheet name="2013-2014 Budget 30April14" sheetId="13" r:id="rId5"/>
    <sheet name="Cash Position as of 30April14" sheetId="12" r:id="rId6"/>
    <sheet name="2013-2014 Budget 28Feb14" sheetId="11" r:id="rId7"/>
    <sheet name="Cash Position as of 28Feb14" sheetId="10" r:id="rId8"/>
    <sheet name="Cash Position as of 30Oct13" sheetId="7" r:id="rId9"/>
    <sheet name="Cash Position as of 31Dec13" sheetId="8" r:id="rId10"/>
    <sheet name="Revenue" sheetId="2" r:id="rId11"/>
    <sheet name="Expenses" sheetId="3" r:id="rId12"/>
  </sheets>
  <externalReferences>
    <externalReference r:id="rId13"/>
  </externalReferences>
  <definedNames>
    <definedName name="_xlnm.Print_Area" localSheetId="11">Expenses!$A$1:$G$56</definedName>
    <definedName name="_xlnm.Print_Area" localSheetId="10">Revenue!$A$1:$G$52</definedName>
  </definedNames>
  <calcPr calcId="145621"/>
</workbook>
</file>

<file path=xl/calcChain.xml><?xml version="1.0" encoding="utf-8"?>
<calcChain xmlns="http://schemas.openxmlformats.org/spreadsheetml/2006/main">
  <c r="C27" i="3" l="1"/>
  <c r="C45" i="3" s="1"/>
  <c r="C49" i="3" s="1"/>
  <c r="C30" i="2"/>
  <c r="C33" i="2" s="1"/>
  <c r="C17" i="2"/>
  <c r="C32" i="2" s="1"/>
  <c r="C34" i="2" l="1"/>
  <c r="C48" i="3" s="1"/>
  <c r="C50" i="3" s="1"/>
  <c r="D30" i="2" l="1"/>
  <c r="D33" i="2" s="1"/>
  <c r="D17" i="2"/>
  <c r="D32" i="2" s="1"/>
  <c r="E27" i="2"/>
  <c r="E26" i="2"/>
  <c r="E23" i="2"/>
  <c r="E22" i="2"/>
  <c r="E21" i="2"/>
  <c r="E20" i="2"/>
  <c r="E13" i="2"/>
  <c r="E12" i="2"/>
  <c r="E9" i="2"/>
  <c r="E8" i="2"/>
  <c r="E7" i="2"/>
  <c r="E6" i="2"/>
  <c r="E5" i="2"/>
  <c r="E31" i="3"/>
  <c r="E30" i="3"/>
  <c r="E28" i="3"/>
  <c r="E27" i="3"/>
  <c r="E23" i="3"/>
  <c r="E22" i="3"/>
  <c r="E18" i="3"/>
  <c r="E15" i="3"/>
  <c r="E14" i="3"/>
  <c r="E11" i="3"/>
  <c r="E8" i="3"/>
  <c r="E7" i="3"/>
  <c r="E6" i="3"/>
  <c r="D45" i="3"/>
  <c r="D49" i="3" s="1"/>
  <c r="N10" i="17"/>
  <c r="N12" i="17"/>
  <c r="G21" i="16" s="1"/>
  <c r="N42" i="17"/>
  <c r="B26" i="16"/>
  <c r="B24" i="16"/>
  <c r="B20" i="16"/>
  <c r="B21" i="16"/>
  <c r="G9" i="16"/>
  <c r="G12" i="16"/>
  <c r="B11" i="16"/>
  <c r="B10" i="16"/>
  <c r="B9" i="16"/>
  <c r="F10" i="17"/>
  <c r="D10" i="17" s="1"/>
  <c r="G10" i="15"/>
  <c r="F12" i="17"/>
  <c r="D15" i="17"/>
  <c r="D40" i="17" s="1"/>
  <c r="N25" i="17"/>
  <c r="O25" i="17" s="1"/>
  <c r="N17" i="17"/>
  <c r="N18" i="17"/>
  <c r="G24" i="16" s="1"/>
  <c r="N24" i="17"/>
  <c r="N21" i="17"/>
  <c r="G28" i="16" s="1"/>
  <c r="N15" i="17"/>
  <c r="O15" i="17" s="1"/>
  <c r="N7" i="17"/>
  <c r="O7" i="17" s="1"/>
  <c r="F24" i="17"/>
  <c r="M21" i="17"/>
  <c r="M10" i="17"/>
  <c r="O10" i="17" s="1"/>
  <c r="M6" i="17"/>
  <c r="E26" i="17"/>
  <c r="E24" i="17"/>
  <c r="O43" i="17"/>
  <c r="Q43" i="17" s="1"/>
  <c r="M42" i="17"/>
  <c r="O41" i="17"/>
  <c r="O40" i="17"/>
  <c r="C40" i="17"/>
  <c r="B40" i="17"/>
  <c r="O39" i="17"/>
  <c r="C39" i="17"/>
  <c r="O38" i="17"/>
  <c r="Q38" i="17" s="1"/>
  <c r="C38" i="17"/>
  <c r="O37" i="17"/>
  <c r="P37" i="17" s="1"/>
  <c r="C37" i="17"/>
  <c r="O36" i="17"/>
  <c r="P36" i="17" s="1"/>
  <c r="C36" i="17"/>
  <c r="O35" i="17"/>
  <c r="C35" i="17"/>
  <c r="O34" i="17"/>
  <c r="L34" i="17"/>
  <c r="P34" i="17" s="1"/>
  <c r="H34" i="17"/>
  <c r="C34" i="17"/>
  <c r="H33" i="17"/>
  <c r="D33" i="17"/>
  <c r="C33" i="17"/>
  <c r="O32" i="17"/>
  <c r="Q32" i="17" s="1"/>
  <c r="H32" i="17"/>
  <c r="C32" i="17"/>
  <c r="O31" i="17"/>
  <c r="Q31" i="17" s="1"/>
  <c r="H31" i="17"/>
  <c r="C31" i="17"/>
  <c r="C41" i="17" s="1"/>
  <c r="O30" i="17"/>
  <c r="H30" i="17"/>
  <c r="C30" i="17"/>
  <c r="P29" i="17"/>
  <c r="O29" i="17"/>
  <c r="Q29" i="17" s="1"/>
  <c r="O28" i="17"/>
  <c r="C27" i="17"/>
  <c r="Q26" i="17"/>
  <c r="O26" i="17"/>
  <c r="P26" i="17"/>
  <c r="G26" i="17"/>
  <c r="E25" i="17"/>
  <c r="G25" i="17" s="1"/>
  <c r="D25" i="17"/>
  <c r="D24" i="17"/>
  <c r="O23" i="17"/>
  <c r="G23" i="17"/>
  <c r="I23" i="17" s="1"/>
  <c r="P22" i="17"/>
  <c r="O22" i="17"/>
  <c r="Q22" i="17" s="1"/>
  <c r="E22" i="17"/>
  <c r="E27" i="17" s="1"/>
  <c r="D22" i="17"/>
  <c r="D34" i="17" s="1"/>
  <c r="G21" i="17"/>
  <c r="I21" i="17" s="1"/>
  <c r="D21" i="17"/>
  <c r="G20" i="17"/>
  <c r="I20" i="17" s="1"/>
  <c r="O19" i="17"/>
  <c r="Q19" i="17" s="1"/>
  <c r="G19" i="17"/>
  <c r="I19" i="17" s="1"/>
  <c r="D19" i="17"/>
  <c r="D27" i="17" s="1"/>
  <c r="M17" i="17"/>
  <c r="C16" i="17"/>
  <c r="G15" i="17"/>
  <c r="H15" i="17" s="1"/>
  <c r="O14" i="17"/>
  <c r="Q14" i="17" s="1"/>
  <c r="G14" i="17"/>
  <c r="I14" i="17" s="1"/>
  <c r="D14" i="17"/>
  <c r="D39" i="17" s="1"/>
  <c r="O13" i="17"/>
  <c r="P13" i="17" s="1"/>
  <c r="G13" i="17"/>
  <c r="E13" i="17"/>
  <c r="E16" i="17"/>
  <c r="D13" i="17"/>
  <c r="D38" i="17"/>
  <c r="D12" i="17"/>
  <c r="D37" i="17"/>
  <c r="G11" i="17"/>
  <c r="D11" i="17"/>
  <c r="D36" i="17" s="1"/>
  <c r="G10" i="17"/>
  <c r="G9" i="17"/>
  <c r="O8" i="17"/>
  <c r="P8" i="17"/>
  <c r="G8" i="17"/>
  <c r="G33" i="17" s="1"/>
  <c r="G7" i="17"/>
  <c r="I7" i="17" s="1"/>
  <c r="D7" i="17"/>
  <c r="D32" i="17" s="1"/>
  <c r="G6" i="17"/>
  <c r="I6" i="17" s="1"/>
  <c r="D6" i="17"/>
  <c r="D31" i="17" s="1"/>
  <c r="G5" i="17"/>
  <c r="I5" i="17" s="1"/>
  <c r="D5" i="17"/>
  <c r="G35" i="16"/>
  <c r="G40" i="17"/>
  <c r="H37" i="17"/>
  <c r="O21" i="17"/>
  <c r="Q21" i="17"/>
  <c r="M44" i="17"/>
  <c r="I26" i="17"/>
  <c r="H26" i="17"/>
  <c r="I11" i="17"/>
  <c r="G36" i="17"/>
  <c r="Q35" i="17"/>
  <c r="P35" i="17"/>
  <c r="O6" i="17"/>
  <c r="H11" i="17"/>
  <c r="H36" i="17" s="1"/>
  <c r="Q41" i="17"/>
  <c r="P41" i="17"/>
  <c r="Q8" i="17"/>
  <c r="Q28" i="17"/>
  <c r="P28" i="17"/>
  <c r="G31" i="17"/>
  <c r="Q39" i="17"/>
  <c r="P39" i="17"/>
  <c r="Q40" i="17"/>
  <c r="P40" i="17"/>
  <c r="G32" i="17"/>
  <c r="I13" i="17"/>
  <c r="Q23" i="17"/>
  <c r="P23" i="17"/>
  <c r="H39" i="17"/>
  <c r="G30" i="17"/>
  <c r="P32" i="17"/>
  <c r="P38" i="17"/>
  <c r="H38" i="17"/>
  <c r="Q6" i="17"/>
  <c r="P6" i="17"/>
  <c r="G17" i="15"/>
  <c r="M42" i="14"/>
  <c r="O42" i="14" s="1"/>
  <c r="M21" i="14"/>
  <c r="M17" i="14"/>
  <c r="O17" i="14"/>
  <c r="Q17" i="14" s="1"/>
  <c r="M10" i="14"/>
  <c r="E25" i="14"/>
  <c r="E24" i="14"/>
  <c r="E22" i="14"/>
  <c r="E27" i="14" s="1"/>
  <c r="E13" i="14"/>
  <c r="E16" i="14" s="1"/>
  <c r="G25" i="15"/>
  <c r="N7" i="14" s="1"/>
  <c r="O7" i="14" s="1"/>
  <c r="F24" i="14"/>
  <c r="G23" i="15"/>
  <c r="N41" i="14" s="1"/>
  <c r="O41" i="14" s="1"/>
  <c r="G22" i="15"/>
  <c r="N24" i="14" s="1"/>
  <c r="O24" i="14" s="1"/>
  <c r="P24" i="14" s="1"/>
  <c r="G21" i="15"/>
  <c r="N8" i="14" s="1"/>
  <c r="G26" i="15"/>
  <c r="N21" i="14" s="1"/>
  <c r="O21" i="14" s="1"/>
  <c r="G24" i="15"/>
  <c r="N6" i="14" s="1"/>
  <c r="G20" i="15"/>
  <c r="N10" i="14" s="1"/>
  <c r="O10" i="14" s="1"/>
  <c r="G18" i="15"/>
  <c r="F26" i="14"/>
  <c r="G33" i="15"/>
  <c r="M44" i="14"/>
  <c r="O43" i="14"/>
  <c r="Q43" i="14" s="1"/>
  <c r="O40" i="14"/>
  <c r="Q40" i="14" s="1"/>
  <c r="D40" i="14"/>
  <c r="C40" i="14"/>
  <c r="B40" i="14"/>
  <c r="O39" i="14"/>
  <c r="Q39" i="14" s="1"/>
  <c r="C39" i="14"/>
  <c r="O38" i="14"/>
  <c r="P38" i="14" s="1"/>
  <c r="C38" i="14"/>
  <c r="O37" i="14"/>
  <c r="P37" i="14" s="1"/>
  <c r="C37" i="14"/>
  <c r="O36" i="14"/>
  <c r="Q36" i="14" s="1"/>
  <c r="C36" i="14"/>
  <c r="O35" i="14"/>
  <c r="Q35" i="14" s="1"/>
  <c r="D35" i="14"/>
  <c r="C35" i="14"/>
  <c r="O34" i="14"/>
  <c r="L34" i="14"/>
  <c r="P34" i="14" s="1"/>
  <c r="H34" i="14"/>
  <c r="C34" i="14"/>
  <c r="H33" i="14"/>
  <c r="D33" i="14"/>
  <c r="C33" i="14"/>
  <c r="O32" i="14"/>
  <c r="Q32" i="14" s="1"/>
  <c r="H32" i="14"/>
  <c r="C32" i="14"/>
  <c r="O31" i="14"/>
  <c r="P31" i="14" s="1"/>
  <c r="H31" i="14"/>
  <c r="C31" i="14"/>
  <c r="O30" i="14"/>
  <c r="H30" i="14"/>
  <c r="C30" i="14"/>
  <c r="O29" i="14"/>
  <c r="Q29" i="14"/>
  <c r="O28" i="14"/>
  <c r="P28" i="14"/>
  <c r="C27" i="14"/>
  <c r="O26" i="14"/>
  <c r="Q26" i="14" s="1"/>
  <c r="O25" i="14"/>
  <c r="Q25" i="14" s="1"/>
  <c r="G25" i="14"/>
  <c r="I25" i="14" s="1"/>
  <c r="D25" i="14"/>
  <c r="D24" i="14"/>
  <c r="O23" i="14"/>
  <c r="P23" i="14" s="1"/>
  <c r="G23" i="14"/>
  <c r="I23" i="14"/>
  <c r="O22" i="14"/>
  <c r="Q22" i="14" s="1"/>
  <c r="D22" i="14"/>
  <c r="D34" i="14"/>
  <c r="G21" i="14"/>
  <c r="I21" i="14" s="1"/>
  <c r="D21" i="14"/>
  <c r="G20" i="14"/>
  <c r="I20" i="14" s="1"/>
  <c r="O19" i="14"/>
  <c r="P19" i="14" s="1"/>
  <c r="G19" i="14"/>
  <c r="I19" i="14"/>
  <c r="D19" i="14"/>
  <c r="O18" i="14"/>
  <c r="P18" i="14" s="1"/>
  <c r="C16" i="14"/>
  <c r="O15" i="14"/>
  <c r="Q15" i="14" s="1"/>
  <c r="G15" i="14"/>
  <c r="O14" i="14"/>
  <c r="Q14" i="14" s="1"/>
  <c r="G14" i="14"/>
  <c r="D14" i="14"/>
  <c r="D39" i="14" s="1"/>
  <c r="O13" i="14"/>
  <c r="P13" i="14"/>
  <c r="G13" i="14"/>
  <c r="D13" i="14"/>
  <c r="O12" i="14"/>
  <c r="P12" i="14" s="1"/>
  <c r="G12" i="14"/>
  <c r="I12" i="14" s="1"/>
  <c r="D12" i="14"/>
  <c r="D37" i="14" s="1"/>
  <c r="G11" i="14"/>
  <c r="G36" i="14" s="1"/>
  <c r="D11" i="14"/>
  <c r="D36" i="14" s="1"/>
  <c r="G10" i="14"/>
  <c r="G35" i="14"/>
  <c r="F16" i="14"/>
  <c r="G8" i="14"/>
  <c r="G33" i="14" s="1"/>
  <c r="G7" i="14"/>
  <c r="I7" i="14" s="1"/>
  <c r="D7" i="14"/>
  <c r="D32" i="14" s="1"/>
  <c r="G6" i="14"/>
  <c r="G31" i="14" s="1"/>
  <c r="D6" i="14"/>
  <c r="D31" i="14" s="1"/>
  <c r="G5" i="14"/>
  <c r="G30" i="14"/>
  <c r="D5" i="14"/>
  <c r="A18" i="13"/>
  <c r="A13" i="13" s="1"/>
  <c r="A24" i="13"/>
  <c r="A27" i="13" s="1"/>
  <c r="A22" i="13"/>
  <c r="O32" i="13"/>
  <c r="P32" i="13" s="1"/>
  <c r="C40" i="13"/>
  <c r="D40" i="13"/>
  <c r="B40" i="13"/>
  <c r="G25" i="12"/>
  <c r="N42" i="13" s="1"/>
  <c r="O42" i="13" s="1"/>
  <c r="B24" i="12"/>
  <c r="G24" i="12"/>
  <c r="N22" i="13"/>
  <c r="O22" i="13" s="1"/>
  <c r="E27" i="13"/>
  <c r="C27" i="13"/>
  <c r="G12" i="12"/>
  <c r="G11" i="12"/>
  <c r="M44" i="13"/>
  <c r="G27" i="12"/>
  <c r="N29" i="13" s="1"/>
  <c r="O29" i="13" s="1"/>
  <c r="B25" i="12"/>
  <c r="B23" i="12"/>
  <c r="G23" i="12"/>
  <c r="N17" i="13" s="1"/>
  <c r="O17" i="13" s="1"/>
  <c r="G17" i="12"/>
  <c r="G18" i="12"/>
  <c r="F24" i="13" s="1"/>
  <c r="G24" i="13" s="1"/>
  <c r="C39" i="13"/>
  <c r="G26" i="12"/>
  <c r="N6" i="13" s="1"/>
  <c r="G20" i="12"/>
  <c r="F26" i="13" s="1"/>
  <c r="G26" i="13" s="1"/>
  <c r="G19" i="12"/>
  <c r="F22" i="13" s="1"/>
  <c r="G22" i="12"/>
  <c r="N10" i="13" s="1"/>
  <c r="G28" i="12"/>
  <c r="N21" i="13"/>
  <c r="O21" i="13" s="1"/>
  <c r="G10" i="12"/>
  <c r="F15" i="13" s="1"/>
  <c r="G15" i="13" s="1"/>
  <c r="G9" i="12"/>
  <c r="O43" i="13"/>
  <c r="P43" i="13"/>
  <c r="O41" i="13"/>
  <c r="P41" i="13"/>
  <c r="O40" i="13"/>
  <c r="P40" i="13"/>
  <c r="Q40" i="13"/>
  <c r="O39" i="13"/>
  <c r="Q39" i="13" s="1"/>
  <c r="O38" i="13"/>
  <c r="Q38" i="13"/>
  <c r="C38" i="13"/>
  <c r="O37" i="13"/>
  <c r="P37" i="13" s="1"/>
  <c r="C37" i="13"/>
  <c r="O36" i="13"/>
  <c r="P36" i="13"/>
  <c r="Q36" i="13"/>
  <c r="C36" i="13"/>
  <c r="O35" i="13"/>
  <c r="P35" i="13"/>
  <c r="D35" i="13"/>
  <c r="C35" i="13"/>
  <c r="O34" i="13"/>
  <c r="L34" i="13"/>
  <c r="C34" i="13"/>
  <c r="H33" i="13"/>
  <c r="C33" i="13"/>
  <c r="O31" i="13"/>
  <c r="Q31" i="13" s="1"/>
  <c r="H32" i="13"/>
  <c r="C32" i="13"/>
  <c r="O30" i="13"/>
  <c r="C31" i="13"/>
  <c r="H30" i="13"/>
  <c r="C30" i="13"/>
  <c r="O28" i="13"/>
  <c r="P28" i="13" s="1"/>
  <c r="Q28" i="13"/>
  <c r="O26" i="13"/>
  <c r="P26" i="13" s="1"/>
  <c r="O25" i="13"/>
  <c r="P25" i="13"/>
  <c r="D25" i="13"/>
  <c r="O24" i="13"/>
  <c r="Q24" i="13" s="1"/>
  <c r="D24" i="13"/>
  <c r="O23" i="13"/>
  <c r="P23" i="13" s="1"/>
  <c r="Q23" i="13"/>
  <c r="G23" i="13"/>
  <c r="I23" i="13" s="1"/>
  <c r="D22" i="13"/>
  <c r="D34" i="13"/>
  <c r="G21" i="13"/>
  <c r="I21" i="13" s="1"/>
  <c r="D21" i="13"/>
  <c r="H31" i="13"/>
  <c r="G20" i="13"/>
  <c r="I20" i="13" s="1"/>
  <c r="O19" i="13"/>
  <c r="P19" i="13"/>
  <c r="G19" i="13"/>
  <c r="I19" i="13"/>
  <c r="D19" i="13"/>
  <c r="O18" i="13"/>
  <c r="P18" i="13" s="1"/>
  <c r="C16" i="13"/>
  <c r="O15" i="13"/>
  <c r="P15" i="13" s="1"/>
  <c r="O14" i="13"/>
  <c r="Q14" i="13"/>
  <c r="G14" i="13"/>
  <c r="I14" i="13" s="1"/>
  <c r="D14" i="13"/>
  <c r="O13" i="13"/>
  <c r="Q13" i="13" s="1"/>
  <c r="D13" i="13"/>
  <c r="D38" i="13" s="1"/>
  <c r="O12" i="13"/>
  <c r="Q12" i="13"/>
  <c r="G12" i="13"/>
  <c r="G37" i="13" s="1"/>
  <c r="D12" i="13"/>
  <c r="D37" i="13"/>
  <c r="G11" i="13"/>
  <c r="G36" i="13" s="1"/>
  <c r="D11" i="13"/>
  <c r="H11" i="13" s="1"/>
  <c r="H36" i="13" s="1"/>
  <c r="D36" i="13"/>
  <c r="G10" i="13"/>
  <c r="H10" i="13" s="1"/>
  <c r="O8" i="13"/>
  <c r="P8" i="13" s="1"/>
  <c r="G8" i="13"/>
  <c r="G33" i="13" s="1"/>
  <c r="O7" i="13"/>
  <c r="E16" i="13"/>
  <c r="D7" i="13"/>
  <c r="D32" i="13"/>
  <c r="G6" i="13"/>
  <c r="D6" i="13"/>
  <c r="D31" i="13" s="1"/>
  <c r="G5" i="13"/>
  <c r="I5" i="13"/>
  <c r="D5" i="13"/>
  <c r="D30" i="13"/>
  <c r="G35" i="12"/>
  <c r="F8" i="11"/>
  <c r="G10" i="10"/>
  <c r="F7" i="11" s="1"/>
  <c r="Q19" i="13"/>
  <c r="D33" i="13"/>
  <c r="Q8" i="13"/>
  <c r="P12" i="13"/>
  <c r="P38" i="13"/>
  <c r="Q41" i="13"/>
  <c r="Q26" i="13"/>
  <c r="Q35" i="13"/>
  <c r="G30" i="13"/>
  <c r="G7" i="13"/>
  <c r="I7" i="13"/>
  <c r="D39" i="11"/>
  <c r="C39" i="11"/>
  <c r="C38" i="11"/>
  <c r="C37" i="11"/>
  <c r="C36" i="11"/>
  <c r="C35" i="11"/>
  <c r="D34" i="11"/>
  <c r="C34" i="11"/>
  <c r="C33" i="11"/>
  <c r="H32" i="11"/>
  <c r="C32" i="11"/>
  <c r="C30" i="11"/>
  <c r="C31" i="11"/>
  <c r="H31" i="11"/>
  <c r="H29" i="11"/>
  <c r="C29" i="11"/>
  <c r="M10" i="11"/>
  <c r="M43" i="11" s="1"/>
  <c r="E25" i="11"/>
  <c r="E24" i="11"/>
  <c r="E26" i="11"/>
  <c r="E19" i="11"/>
  <c r="E14" i="11"/>
  <c r="G14" i="11" s="1"/>
  <c r="I14" i="11"/>
  <c r="E13" i="11"/>
  <c r="G23" i="10"/>
  <c r="N10" i="11" s="1"/>
  <c r="G24" i="10"/>
  <c r="N21" i="11" s="1"/>
  <c r="O21" i="11" s="1"/>
  <c r="G20" i="10"/>
  <c r="G21" i="10"/>
  <c r="F21" i="11" s="1"/>
  <c r="G21" i="11" s="1"/>
  <c r="I21" i="11" s="1"/>
  <c r="G19" i="10"/>
  <c r="F24" i="11" s="1"/>
  <c r="G18" i="10"/>
  <c r="G12" i="10"/>
  <c r="F12" i="11" s="1"/>
  <c r="G12" i="11" s="1"/>
  <c r="G13" i="10"/>
  <c r="F13" i="11" s="1"/>
  <c r="G11" i="10"/>
  <c r="F6" i="11" s="1"/>
  <c r="O6" i="11"/>
  <c r="Q6" i="11"/>
  <c r="O7" i="11"/>
  <c r="P7" i="11"/>
  <c r="Q7" i="11"/>
  <c r="O8" i="11"/>
  <c r="Q8" i="11" s="1"/>
  <c r="O12" i="11"/>
  <c r="P12" i="11" s="1"/>
  <c r="O14" i="11"/>
  <c r="Q14" i="11" s="1"/>
  <c r="O15" i="11"/>
  <c r="P15" i="11" s="1"/>
  <c r="O18" i="11"/>
  <c r="Q18" i="11" s="1"/>
  <c r="O19" i="11"/>
  <c r="P19" i="11" s="1"/>
  <c r="O22" i="11"/>
  <c r="P22" i="11" s="1"/>
  <c r="O23" i="11"/>
  <c r="P23" i="11" s="1"/>
  <c r="Q23" i="11"/>
  <c r="O24" i="11"/>
  <c r="Q24" i="11"/>
  <c r="O25" i="11"/>
  <c r="P25" i="11" s="1"/>
  <c r="O26" i="11"/>
  <c r="P26" i="11" s="1"/>
  <c r="O28" i="11"/>
  <c r="Q28" i="11" s="1"/>
  <c r="O29" i="11"/>
  <c r="P29" i="11" s="1"/>
  <c r="O31" i="11"/>
  <c r="P31" i="11" s="1"/>
  <c r="Q31" i="11"/>
  <c r="O33" i="11"/>
  <c r="L33" i="11"/>
  <c r="P33" i="11" s="1"/>
  <c r="O34" i="11"/>
  <c r="P34" i="11" s="1"/>
  <c r="O35" i="11"/>
  <c r="P35" i="11" s="1"/>
  <c r="O37" i="11"/>
  <c r="Q37" i="11" s="1"/>
  <c r="O38" i="11"/>
  <c r="P38" i="11" s="1"/>
  <c r="O39" i="11"/>
  <c r="Q39" i="11"/>
  <c r="P39" i="11"/>
  <c r="O40" i="11"/>
  <c r="Q40" i="11" s="1"/>
  <c r="O42" i="11"/>
  <c r="Q42" i="11" s="1"/>
  <c r="P37" i="11"/>
  <c r="G5" i="11"/>
  <c r="G9" i="11"/>
  <c r="I9" i="11"/>
  <c r="G10" i="11"/>
  <c r="I10" i="11" s="1"/>
  <c r="G11" i="11"/>
  <c r="G35" i="11" s="1"/>
  <c r="I11" i="11"/>
  <c r="G15" i="11"/>
  <c r="G39" i="11" s="1"/>
  <c r="C16" i="11"/>
  <c r="G20" i="11"/>
  <c r="I20" i="11" s="1"/>
  <c r="G23" i="11"/>
  <c r="G34" i="11" s="1"/>
  <c r="C26" i="11"/>
  <c r="D6" i="11"/>
  <c r="D30" i="11" s="1"/>
  <c r="H9" i="11"/>
  <c r="H10" i="11"/>
  <c r="H20" i="11"/>
  <c r="D21" i="11"/>
  <c r="D22" i="11"/>
  <c r="D33" i="11" s="1"/>
  <c r="D24" i="11"/>
  <c r="D25" i="11"/>
  <c r="D5" i="11"/>
  <c r="D7" i="11"/>
  <c r="D31" i="11" s="1"/>
  <c r="D11" i="11"/>
  <c r="D35" i="11" s="1"/>
  <c r="D12" i="11"/>
  <c r="D36" i="11" s="1"/>
  <c r="D13" i="11"/>
  <c r="D14" i="11"/>
  <c r="D38" i="11" s="1"/>
  <c r="D19" i="11"/>
  <c r="G31" i="10"/>
  <c r="G10" i="8"/>
  <c r="G19" i="8"/>
  <c r="G17" i="8"/>
  <c r="G16" i="8"/>
  <c r="G21" i="8"/>
  <c r="G26" i="8"/>
  <c r="O13" i="11"/>
  <c r="P13" i="11" s="1"/>
  <c r="G25" i="8"/>
  <c r="O17" i="11"/>
  <c r="Q17" i="11" s="1"/>
  <c r="G23" i="8"/>
  <c r="G24" i="8"/>
  <c r="G27" i="8"/>
  <c r="G22" i="8"/>
  <c r="G39" i="8"/>
  <c r="G11" i="8"/>
  <c r="G9" i="8"/>
  <c r="G18" i="8"/>
  <c r="G28" i="8"/>
  <c r="G30" i="8"/>
  <c r="G17" i="7"/>
  <c r="G16" i="7"/>
  <c r="G19" i="7"/>
  <c r="G18" i="7"/>
  <c r="G9" i="7"/>
  <c r="G21" i="7"/>
  <c r="G23" i="7"/>
  <c r="G25" i="7"/>
  <c r="G12" i="7"/>
  <c r="G31" i="7"/>
  <c r="G32" i="7" s="1"/>
  <c r="G39" i="7"/>
  <c r="G49" i="7"/>
  <c r="J45" i="3"/>
  <c r="J49" i="3" s="1"/>
  <c r="J17" i="2"/>
  <c r="J32" i="2" s="1"/>
  <c r="J34" i="2" s="1"/>
  <c r="J48" i="3" s="1"/>
  <c r="J30" i="2"/>
  <c r="J33" i="2"/>
  <c r="H45" i="3"/>
  <c r="H17" i="2"/>
  <c r="H32" i="2" s="1"/>
  <c r="H30" i="2"/>
  <c r="H33" i="2" s="1"/>
  <c r="I33" i="2" s="1"/>
  <c r="F17" i="2"/>
  <c r="E17" i="2" s="1"/>
  <c r="F30" i="2"/>
  <c r="E30" i="2" s="1"/>
  <c r="G35" i="3"/>
  <c r="I35" i="3"/>
  <c r="G6" i="3"/>
  <c r="I6" i="3"/>
  <c r="G7" i="3"/>
  <c r="I7" i="3"/>
  <c r="G8" i="3"/>
  <c r="I8" i="3"/>
  <c r="G11" i="3"/>
  <c r="I11" i="3"/>
  <c r="G14" i="3"/>
  <c r="I14" i="3"/>
  <c r="G15" i="3"/>
  <c r="G16" i="3"/>
  <c r="I16" i="3"/>
  <c r="G17" i="3"/>
  <c r="G18" i="3"/>
  <c r="G19" i="3"/>
  <c r="I19" i="3"/>
  <c r="G22" i="3"/>
  <c r="I22" i="3"/>
  <c r="G23" i="3"/>
  <c r="I23" i="3"/>
  <c r="G24" i="3"/>
  <c r="I24" i="3"/>
  <c r="G27" i="3"/>
  <c r="I27" i="3"/>
  <c r="G28" i="3"/>
  <c r="I28" i="3"/>
  <c r="G30" i="3"/>
  <c r="I30" i="3"/>
  <c r="G31" i="3"/>
  <c r="I31" i="3"/>
  <c r="I32" i="3"/>
  <c r="I30" i="2"/>
  <c r="I21" i="2"/>
  <c r="I22" i="2"/>
  <c r="I23" i="2"/>
  <c r="I26" i="2"/>
  <c r="I27" i="2"/>
  <c r="I17" i="2"/>
  <c r="I13" i="2"/>
  <c r="I12" i="2"/>
  <c r="G17" i="2"/>
  <c r="G27" i="2"/>
  <c r="I6" i="2"/>
  <c r="I7" i="2"/>
  <c r="I8" i="2"/>
  <c r="I9" i="2"/>
  <c r="I20" i="2"/>
  <c r="G6" i="2"/>
  <c r="G7" i="2"/>
  <c r="G8" i="2"/>
  <c r="G9" i="2"/>
  <c r="G12" i="2"/>
  <c r="G13" i="2"/>
  <c r="G20" i="2"/>
  <c r="G21" i="2"/>
  <c r="G22" i="2"/>
  <c r="G23" i="2"/>
  <c r="G26" i="2"/>
  <c r="G5" i="2"/>
  <c r="I5" i="2"/>
  <c r="P18" i="11"/>
  <c r="H23" i="11"/>
  <c r="H34" i="11" s="1"/>
  <c r="Q33" i="11"/>
  <c r="O30" i="11"/>
  <c r="P17" i="11"/>
  <c r="O41" i="11"/>
  <c r="Q41" i="11" s="1"/>
  <c r="O36" i="11"/>
  <c r="Q36" i="11"/>
  <c r="P36" i="11"/>
  <c r="G19" i="11"/>
  <c r="I19" i="11" s="1"/>
  <c r="I15" i="11"/>
  <c r="F25" i="11"/>
  <c r="G25" i="11" s="1"/>
  <c r="C40" i="11"/>
  <c r="P6" i="11"/>
  <c r="Q12" i="11"/>
  <c r="P28" i="11"/>
  <c r="P14" i="11"/>
  <c r="D26" i="11"/>
  <c r="Q35" i="11"/>
  <c r="Q15" i="11"/>
  <c r="P24" i="11"/>
  <c r="P40" i="11"/>
  <c r="Q19" i="11"/>
  <c r="Q13" i="11"/>
  <c r="Q34" i="11"/>
  <c r="Q26" i="11"/>
  <c r="Q22" i="11"/>
  <c r="P8" i="11"/>
  <c r="A25" i="13"/>
  <c r="C41" i="13"/>
  <c r="I8" i="13"/>
  <c r="G32" i="13"/>
  <c r="H12" i="13"/>
  <c r="H37" i="13" s="1"/>
  <c r="H34" i="13"/>
  <c r="D39" i="13"/>
  <c r="P34" i="13"/>
  <c r="I6" i="13"/>
  <c r="P14" i="13"/>
  <c r="Q43" i="13"/>
  <c r="Q18" i="13"/>
  <c r="I10" i="13"/>
  <c r="Q37" i="13"/>
  <c r="P24" i="13"/>
  <c r="Q34" i="13"/>
  <c r="D16" i="13"/>
  <c r="Q25" i="13"/>
  <c r="P31" i="13"/>
  <c r="L30" i="13"/>
  <c r="Q30" i="13" s="1"/>
  <c r="G39" i="14"/>
  <c r="H25" i="14"/>
  <c r="H39" i="14" s="1"/>
  <c r="G24" i="14"/>
  <c r="I24" i="14" s="1"/>
  <c r="I13" i="14"/>
  <c r="H15" i="14"/>
  <c r="I15" i="14"/>
  <c r="D30" i="14"/>
  <c r="G32" i="14"/>
  <c r="I8" i="14"/>
  <c r="H10" i="14"/>
  <c r="H11" i="14"/>
  <c r="H36" i="14" s="1"/>
  <c r="H12" i="14"/>
  <c r="H37" i="14" s="1"/>
  <c r="I14" i="14"/>
  <c r="P17" i="14"/>
  <c r="P22" i="14"/>
  <c r="H23" i="14"/>
  <c r="H35" i="14" s="1"/>
  <c r="P26" i="14"/>
  <c r="P29" i="14"/>
  <c r="P36" i="14"/>
  <c r="G37" i="14"/>
  <c r="I5" i="14"/>
  <c r="G9" i="14"/>
  <c r="G16" i="14" s="1"/>
  <c r="I10" i="14"/>
  <c r="I11" i="14"/>
  <c r="Q13" i="14"/>
  <c r="P15" i="14"/>
  <c r="Q18" i="14"/>
  <c r="P25" i="14"/>
  <c r="Q28" i="14"/>
  <c r="P35" i="14"/>
  <c r="P39" i="14"/>
  <c r="P40" i="14"/>
  <c r="I6" i="14"/>
  <c r="G22" i="14"/>
  <c r="I22" i="14" s="1"/>
  <c r="D27" i="14"/>
  <c r="H24" i="14"/>
  <c r="H38" i="14" s="1"/>
  <c r="G33" i="8"/>
  <c r="Q24" i="14"/>
  <c r="L30" i="11"/>
  <c r="P30" i="11" s="1"/>
  <c r="L30" i="14"/>
  <c r="L44" i="14" s="1"/>
  <c r="G14" i="10"/>
  <c r="P21" i="17"/>
  <c r="O12" i="17"/>
  <c r="P12" i="17" s="1"/>
  <c r="G19" i="16"/>
  <c r="G26" i="16"/>
  <c r="L30" i="17"/>
  <c r="P30" i="17" s="1"/>
  <c r="G25" i="16"/>
  <c r="O24" i="17"/>
  <c r="Q24" i="17" s="1"/>
  <c r="G27" i="16"/>
  <c r="G35" i="17"/>
  <c r="G20" i="16"/>
  <c r="G10" i="16"/>
  <c r="Q30" i="14"/>
  <c r="Q30" i="11"/>
  <c r="Q30" i="17"/>
  <c r="L44" i="17"/>
  <c r="G22" i="13"/>
  <c r="G25" i="10"/>
  <c r="G27" i="10" s="1"/>
  <c r="F22" i="11"/>
  <c r="G22" i="11" s="1"/>
  <c r="F9" i="13"/>
  <c r="G13" i="12"/>
  <c r="Q25" i="17"/>
  <c r="P25" i="17"/>
  <c r="F16" i="17"/>
  <c r="G9" i="15"/>
  <c r="G12" i="17"/>
  <c r="G16" i="17" s="1"/>
  <c r="G11" i="16"/>
  <c r="P30" i="13"/>
  <c r="L44" i="13"/>
  <c r="F27" i="14"/>
  <c r="G26" i="14"/>
  <c r="H26" i="14" s="1"/>
  <c r="G27" i="15"/>
  <c r="F27" i="17"/>
  <c r="G24" i="17"/>
  <c r="G17" i="16"/>
  <c r="G23" i="16"/>
  <c r="O42" i="17"/>
  <c r="G26" i="7"/>
  <c r="G28" i="7"/>
  <c r="O6" i="14"/>
  <c r="P6" i="14" s="1"/>
  <c r="G12" i="8"/>
  <c r="G35" i="8" s="1"/>
  <c r="E7" i="11"/>
  <c r="O6" i="13"/>
  <c r="G29" i="12"/>
  <c r="G31" i="12" s="1"/>
  <c r="F25" i="13"/>
  <c r="G25" i="13" s="1"/>
  <c r="G22" i="16"/>
  <c r="N44" i="17"/>
  <c r="Q6" i="14"/>
  <c r="I24" i="17"/>
  <c r="G38" i="17"/>
  <c r="I12" i="17"/>
  <c r="G37" i="17"/>
  <c r="I22" i="13"/>
  <c r="Q42" i="17"/>
  <c r="P42" i="17"/>
  <c r="P6" i="13"/>
  <c r="Q6" i="13"/>
  <c r="E16" i="11"/>
  <c r="G9" i="13"/>
  <c r="I9" i="13" s="1"/>
  <c r="P10" i="17" l="1"/>
  <c r="Q10" i="17"/>
  <c r="I10" i="17"/>
  <c r="D16" i="17"/>
  <c r="H10" i="17"/>
  <c r="D35" i="17"/>
  <c r="Q42" i="14"/>
  <c r="P42" i="14"/>
  <c r="I9" i="17"/>
  <c r="Q13" i="17"/>
  <c r="H40" i="17"/>
  <c r="Q37" i="17"/>
  <c r="G11" i="15"/>
  <c r="G12" i="15" s="1"/>
  <c r="D37" i="11"/>
  <c r="Q12" i="14"/>
  <c r="C41" i="14"/>
  <c r="G22" i="17"/>
  <c r="G40" i="14"/>
  <c r="G13" i="16"/>
  <c r="L43" i="11"/>
  <c r="P30" i="14"/>
  <c r="H16" i="14"/>
  <c r="G30" i="2"/>
  <c r="Q38" i="11"/>
  <c r="Q25" i="11"/>
  <c r="G13" i="11"/>
  <c r="Q15" i="13"/>
  <c r="I11" i="13"/>
  <c r="I12" i="13"/>
  <c r="D27" i="13"/>
  <c r="F13" i="13"/>
  <c r="G13" i="13" s="1"/>
  <c r="G38" i="13" s="1"/>
  <c r="D38" i="14"/>
  <c r="D41" i="14" s="1"/>
  <c r="P14" i="14"/>
  <c r="P32" i="14"/>
  <c r="Q37" i="14"/>
  <c r="P43" i="14"/>
  <c r="P14" i="17"/>
  <c r="Q34" i="17"/>
  <c r="D30" i="17"/>
  <c r="H23" i="17"/>
  <c r="H27" i="17" s="1"/>
  <c r="I26" i="14"/>
  <c r="Q12" i="17"/>
  <c r="G38" i="14"/>
  <c r="I9" i="14"/>
  <c r="I16" i="14" s="1"/>
  <c r="P41" i="11"/>
  <c r="J33" i="7"/>
  <c r="H11" i="11"/>
  <c r="H35" i="11" s="1"/>
  <c r="H15" i="11"/>
  <c r="H39" i="11" s="1"/>
  <c r="D41" i="13"/>
  <c r="G34" i="13"/>
  <c r="H49" i="3"/>
  <c r="I49" i="3" s="1"/>
  <c r="I45" i="3"/>
  <c r="J50" i="3"/>
  <c r="H34" i="2"/>
  <c r="I32" i="2"/>
  <c r="H22" i="11"/>
  <c r="H33" i="11" s="1"/>
  <c r="G33" i="11"/>
  <c r="I22" i="11"/>
  <c r="G34" i="14"/>
  <c r="G41" i="14" s="1"/>
  <c r="F33" i="2"/>
  <c r="G33" i="2" s="1"/>
  <c r="F32" i="2"/>
  <c r="G29" i="11"/>
  <c r="D8" i="11"/>
  <c r="G8" i="11"/>
  <c r="G32" i="11" s="1"/>
  <c r="I25" i="17"/>
  <c r="G39" i="17"/>
  <c r="E32" i="2"/>
  <c r="I5" i="11"/>
  <c r="D29" i="11"/>
  <c r="P42" i="11"/>
  <c r="Q29" i="11"/>
  <c r="P7" i="13"/>
  <c r="Q7" i="13"/>
  <c r="P13" i="13"/>
  <c r="P39" i="13"/>
  <c r="Q32" i="13"/>
  <c r="D16" i="14"/>
  <c r="Q19" i="14"/>
  <c r="Q23" i="14"/>
  <c r="Q31" i="14"/>
  <c r="Q34" i="14"/>
  <c r="Q38" i="14"/>
  <c r="E33" i="2"/>
  <c r="G7" i="11"/>
  <c r="G31" i="11" s="1"/>
  <c r="I8" i="17"/>
  <c r="I16" i="17" s="1"/>
  <c r="Q36" i="17"/>
  <c r="P43" i="17"/>
  <c r="I15" i="17"/>
  <c r="P19" i="17"/>
  <c r="P31" i="17"/>
  <c r="O17" i="17"/>
  <c r="N43" i="11"/>
  <c r="O10" i="11"/>
  <c r="O43" i="11" s="1"/>
  <c r="O10" i="13"/>
  <c r="N44" i="13"/>
  <c r="F26" i="11"/>
  <c r="G24" i="11"/>
  <c r="G26" i="11" s="1"/>
  <c r="Q21" i="14"/>
  <c r="P21" i="14"/>
  <c r="G6" i="11"/>
  <c r="H6" i="11" s="1"/>
  <c r="F16" i="11"/>
  <c r="F16" i="13"/>
  <c r="Q15" i="17"/>
  <c r="P15" i="17"/>
  <c r="P17" i="17"/>
  <c r="Q17" i="17"/>
  <c r="H12" i="11"/>
  <c r="H36" i="11" s="1"/>
  <c r="I12" i="11"/>
  <c r="G36" i="11"/>
  <c r="I7" i="11"/>
  <c r="H15" i="13"/>
  <c r="I15" i="13"/>
  <c r="Q42" i="13"/>
  <c r="P42" i="13"/>
  <c r="Q41" i="14"/>
  <c r="P41" i="14"/>
  <c r="P7" i="17"/>
  <c r="O44" i="17"/>
  <c r="Q7" i="17"/>
  <c r="I27" i="14"/>
  <c r="O18" i="17"/>
  <c r="G29" i="16"/>
  <c r="G31" i="16" s="1"/>
  <c r="P24" i="17"/>
  <c r="G29" i="15"/>
  <c r="D34" i="2"/>
  <c r="P29" i="13"/>
  <c r="Q29" i="13"/>
  <c r="H27" i="14"/>
  <c r="H40" i="14"/>
  <c r="H41" i="14" s="1"/>
  <c r="G35" i="15" s="1"/>
  <c r="Q21" i="13"/>
  <c r="P21" i="13"/>
  <c r="P7" i="14"/>
  <c r="Q7" i="14"/>
  <c r="I26" i="13"/>
  <c r="G40" i="13"/>
  <c r="H26" i="13"/>
  <c r="H40" i="13" s="1"/>
  <c r="G27" i="14"/>
  <c r="N44" i="14"/>
  <c r="I23" i="11"/>
  <c r="O8" i="14"/>
  <c r="O44" i="14" s="1"/>
  <c r="F45" i="3"/>
  <c r="E45" i="3" s="1"/>
  <c r="D32" i="11"/>
  <c r="D40" i="11" s="1"/>
  <c r="D16" i="11"/>
  <c r="I8" i="11"/>
  <c r="P10" i="14"/>
  <c r="Q10" i="14"/>
  <c r="P21" i="11"/>
  <c r="Q21" i="11"/>
  <c r="H25" i="13"/>
  <c r="H39" i="13" s="1"/>
  <c r="G39" i="13"/>
  <c r="I25" i="13"/>
  <c r="G30" i="11"/>
  <c r="I6" i="11"/>
  <c r="G16" i="11"/>
  <c r="O44" i="13"/>
  <c r="Q10" i="13"/>
  <c r="P10" i="13"/>
  <c r="Q22" i="13"/>
  <c r="P22" i="13"/>
  <c r="I25" i="11"/>
  <c r="G38" i="11"/>
  <c r="H25" i="11"/>
  <c r="I13" i="11"/>
  <c r="H13" i="11"/>
  <c r="A23" i="13"/>
  <c r="A28" i="13" s="1"/>
  <c r="G27" i="13"/>
  <c r="H24" i="13"/>
  <c r="I24" i="13"/>
  <c r="P17" i="13"/>
  <c r="Q17" i="13"/>
  <c r="G31" i="13"/>
  <c r="G35" i="13"/>
  <c r="H23" i="13"/>
  <c r="F27" i="13"/>
  <c r="G37" i="11" l="1"/>
  <c r="G27" i="17"/>
  <c r="I22" i="17"/>
  <c r="I27" i="17" s="1"/>
  <c r="D41" i="17"/>
  <c r="H35" i="17"/>
  <c r="H41" i="17" s="1"/>
  <c r="G37" i="16" s="1"/>
  <c r="H16" i="17"/>
  <c r="G34" i="17"/>
  <c r="G41" i="17" s="1"/>
  <c r="G41" i="13"/>
  <c r="G43" i="8"/>
  <c r="F34" i="2"/>
  <c r="G34" i="2" s="1"/>
  <c r="G32" i="2"/>
  <c r="P44" i="13"/>
  <c r="G39" i="12" s="1"/>
  <c r="E34" i="2"/>
  <c r="D48" i="3"/>
  <c r="H48" i="3"/>
  <c r="I34" i="2"/>
  <c r="Q10" i="11"/>
  <c r="Q43" i="11" s="1"/>
  <c r="P10" i="11"/>
  <c r="G36" i="7"/>
  <c r="G34" i="7"/>
  <c r="P18" i="17"/>
  <c r="P44" i="17" s="1"/>
  <c r="G39" i="16" s="1"/>
  <c r="G41" i="16" s="1"/>
  <c r="Q18" i="17"/>
  <c r="I24" i="11"/>
  <c r="I26" i="11" s="1"/>
  <c r="H24" i="11"/>
  <c r="H37" i="11" s="1"/>
  <c r="G41" i="8"/>
  <c r="G45" i="8" s="1"/>
  <c r="I13" i="13"/>
  <c r="I16" i="13" s="1"/>
  <c r="H13" i="13"/>
  <c r="H16" i="13" s="1"/>
  <c r="G16" i="13"/>
  <c r="P43" i="11"/>
  <c r="G35" i="10" s="1"/>
  <c r="Q44" i="17"/>
  <c r="P8" i="14"/>
  <c r="P44" i="14" s="1"/>
  <c r="G37" i="15" s="1"/>
  <c r="G39" i="15" s="1"/>
  <c r="Q8" i="14"/>
  <c r="Q44" i="14" s="1"/>
  <c r="I27" i="13"/>
  <c r="F49" i="3"/>
  <c r="E49" i="3" s="1"/>
  <c r="G45" i="3"/>
  <c r="H38" i="11"/>
  <c r="H16" i="11"/>
  <c r="H30" i="11"/>
  <c r="H27" i="13"/>
  <c r="H35" i="13"/>
  <c r="G40" i="11"/>
  <c r="Q44" i="13"/>
  <c r="I16" i="11"/>
  <c r="H26" i="11" l="1"/>
  <c r="G51" i="7"/>
  <c r="E48" i="3"/>
  <c r="D50" i="3"/>
  <c r="H50" i="3"/>
  <c r="I50" i="3" s="1"/>
  <c r="I48" i="3"/>
  <c r="G48" i="3"/>
  <c r="H38" i="13"/>
  <c r="H41" i="13" s="1"/>
  <c r="G37" i="12" s="1"/>
  <c r="G41" i="12" s="1"/>
  <c r="G49" i="3"/>
  <c r="F50" i="3"/>
  <c r="H48" i="11"/>
  <c r="H40" i="11"/>
  <c r="G33" i="10" s="1"/>
  <c r="G37" i="10" s="1"/>
  <c r="G50" i="3" l="1"/>
  <c r="E50" i="3"/>
</calcChain>
</file>

<file path=xl/comments1.xml><?xml version="1.0" encoding="utf-8"?>
<comments xmlns="http://schemas.openxmlformats.org/spreadsheetml/2006/main">
  <authors>
    <author>David McCrossan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allocated to year end BBQ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 allocation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???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does not include $500 from TCDSB contribution
in revenue
</t>
        </r>
      </text>
    </comment>
    <comment ref="R3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  <comment ref="R40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</commentList>
</comments>
</file>

<file path=xl/comments2.xml><?xml version="1.0" encoding="utf-8"?>
<comments xmlns="http://schemas.openxmlformats.org/spreadsheetml/2006/main">
  <authors>
    <author>David McCrossan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allocated to year end BBQ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 allocation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???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does not include $500 from TCDSB contribution
in revenue
</t>
        </r>
      </text>
    </comment>
    <comment ref="R3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  <comment ref="R40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</commentList>
</comments>
</file>

<file path=xl/comments3.xml><?xml version="1.0" encoding="utf-8"?>
<comments xmlns="http://schemas.openxmlformats.org/spreadsheetml/2006/main">
  <authors>
    <author>David McCrossan</author>
  </authors>
  <commentList>
    <comment ref="R14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allocated to year end BBQ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 allocation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???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does not include $500 from TCDSB contribution
in revenue
</t>
        </r>
      </text>
    </comment>
    <comment ref="R3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  <comment ref="R40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</commentList>
</comments>
</file>

<file path=xl/comments4.xml><?xml version="1.0" encoding="utf-8"?>
<comments xmlns="http://schemas.openxmlformats.org/spreadsheetml/2006/main">
  <authors>
    <author>David McCrossan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Allocated to Aussie X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allocated to year end BBQ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 allocation</t>
        </r>
      </text>
    </comment>
    <comment ref="P31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???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  <comment ref="P39" authorId="0">
      <text>
        <r>
          <rPr>
            <b/>
            <sz val="9"/>
            <color indexed="81"/>
            <rFont val="Tahoma"/>
            <family val="2"/>
          </rPr>
          <t>David McCrossan:</t>
        </r>
        <r>
          <rPr>
            <sz val="9"/>
            <color indexed="81"/>
            <rFont val="Tahoma"/>
            <family val="2"/>
          </rPr>
          <t xml:space="preserve">
Aussie X</t>
        </r>
      </text>
    </comment>
  </commentList>
</comments>
</file>

<file path=xl/sharedStrings.xml><?xml version="1.0" encoding="utf-8"?>
<sst xmlns="http://schemas.openxmlformats.org/spreadsheetml/2006/main" count="745" uniqueCount="191">
  <si>
    <t>Fun Fair</t>
  </si>
  <si>
    <t>Float</t>
  </si>
  <si>
    <t>Magazines</t>
  </si>
  <si>
    <t>Spring Fling</t>
  </si>
  <si>
    <t>TCDSB Parental Involvement</t>
  </si>
  <si>
    <t>2012/2013</t>
  </si>
  <si>
    <t>% Change</t>
  </si>
  <si>
    <t>Pizza Lunch</t>
  </si>
  <si>
    <t>Milk Program</t>
  </si>
  <si>
    <t xml:space="preserve">Pizza Lunch </t>
  </si>
  <si>
    <t xml:space="preserve">Lunch Lady </t>
  </si>
  <si>
    <t>Lunch Lady</t>
  </si>
  <si>
    <t>Forecast Revenue</t>
  </si>
  <si>
    <t>Total Forecast Operating Budget</t>
  </si>
  <si>
    <t>CSAC 2012/2013 Forecast Operating Budget</t>
  </si>
  <si>
    <t>Operating Expenses</t>
  </si>
  <si>
    <t>GOAL OF CATHOLICISM</t>
  </si>
  <si>
    <t>Total Forecast Operating Expenses</t>
  </si>
  <si>
    <t>First Holy Communion</t>
  </si>
  <si>
    <t>Confirmation</t>
  </si>
  <si>
    <t>TEACHER SUPPORT</t>
  </si>
  <si>
    <t>Year End BBQ</t>
  </si>
  <si>
    <t>Halloween Dance</t>
  </si>
  <si>
    <t>Winter Carnival</t>
  </si>
  <si>
    <t>Community Meetings</t>
  </si>
  <si>
    <t>JK Welcome</t>
  </si>
  <si>
    <t>CSAC &amp; TCDSB SHARED PROGRAMS</t>
  </si>
  <si>
    <t>COMMUNITY BUILDING</t>
  </si>
  <si>
    <t>Graduation</t>
  </si>
  <si>
    <t>Track &amp; Field</t>
  </si>
  <si>
    <t>ENHANCING STUDENT EXP.</t>
  </si>
  <si>
    <t>Library Resources</t>
  </si>
  <si>
    <t>Athletic Development</t>
  </si>
  <si>
    <t>Musical Instruments</t>
  </si>
  <si>
    <t>OTHER</t>
  </si>
  <si>
    <t>CSAC Liability</t>
  </si>
  <si>
    <t>Forecast Operating Expenses</t>
  </si>
  <si>
    <t>TOTAL SURPLUS/(DEFICIT)</t>
  </si>
  <si>
    <t>% Chg</t>
  </si>
  <si>
    <t>2011/2012</t>
  </si>
  <si>
    <t>2010/2011</t>
  </si>
  <si>
    <r>
      <t>Magazines</t>
    </r>
    <r>
      <rPr>
        <sz val="8"/>
        <rFont val="Arial"/>
        <family val="2"/>
      </rPr>
      <t xml:space="preserve"> (*Commission to CCRP)</t>
    </r>
  </si>
  <si>
    <t>Forecast Gross Revenue</t>
  </si>
  <si>
    <t>Forecast Fundraising Expenses</t>
  </si>
  <si>
    <t>Total Forecast Gross Revenue</t>
  </si>
  <si>
    <t xml:space="preserve">Total Forecast Fundraising Expenses </t>
  </si>
  <si>
    <r>
      <t xml:space="preserve">Forecast </t>
    </r>
    <r>
      <rPr>
        <sz val="8"/>
        <rFont val="Arial"/>
        <family val="2"/>
      </rPr>
      <t xml:space="preserve">Gross </t>
    </r>
    <r>
      <rPr>
        <sz val="8"/>
        <rFont val="Arial"/>
        <family val="2"/>
      </rPr>
      <t>Revenue</t>
    </r>
  </si>
  <si>
    <r>
      <t xml:space="preserve">Less:  Forecast </t>
    </r>
    <r>
      <rPr>
        <sz val="8"/>
        <rFont val="Arial"/>
        <family val="2"/>
      </rPr>
      <t xml:space="preserve">Fundraising </t>
    </r>
    <r>
      <rPr>
        <sz val="8"/>
        <rFont val="Arial"/>
        <family val="2"/>
      </rPr>
      <t>Expenses</t>
    </r>
  </si>
  <si>
    <r>
      <t>Principal's Discretionary Fund</t>
    </r>
    <r>
      <rPr>
        <sz val="8"/>
        <rFont val="Arial"/>
        <family val="2"/>
      </rPr>
      <t xml:space="preserve"> *(To financially assist St. John families)</t>
    </r>
  </si>
  <si>
    <r>
      <t>Classroom Materials</t>
    </r>
    <r>
      <rPr>
        <sz val="8"/>
        <rFont val="Arial"/>
        <family val="2"/>
      </rPr>
      <t xml:space="preserve"> ($200/each for 29 teachers)</t>
    </r>
  </si>
  <si>
    <r>
      <t>Academic Contests - Math</t>
    </r>
    <r>
      <rPr>
        <sz val="8"/>
        <rFont val="Arial"/>
        <family val="2"/>
      </rPr>
      <t xml:space="preserve"> (U of W)</t>
    </r>
  </si>
  <si>
    <t>Math Club</t>
  </si>
  <si>
    <t>Read-a-thon</t>
  </si>
  <si>
    <t>St. John Catholic Elementary School</t>
  </si>
  <si>
    <t>to</t>
  </si>
  <si>
    <t>Total Expenses</t>
  </si>
  <si>
    <t>Balance Available for Allocation</t>
  </si>
  <si>
    <t>B</t>
  </si>
  <si>
    <t>C</t>
  </si>
  <si>
    <t>D</t>
  </si>
  <si>
    <t>E</t>
  </si>
  <si>
    <t>Reporting Period:</t>
  </si>
  <si>
    <t>D=(A+B-C)</t>
  </si>
  <si>
    <t>Fundraising Expenses</t>
  </si>
  <si>
    <t>F</t>
  </si>
  <si>
    <t>21st Century Learning ($25,000)</t>
  </si>
  <si>
    <t>Scientist in the School (23 X $184/each)</t>
  </si>
  <si>
    <t>One Time Approved Expenses</t>
  </si>
  <si>
    <t>A</t>
  </si>
  <si>
    <t>21st Century Learning 2nd Installment ($6,500)</t>
  </si>
  <si>
    <t>Awards (Mr. Sousa)</t>
  </si>
  <si>
    <t>School Yard Activities (Jacky Arminen)</t>
  </si>
  <si>
    <t>Guest Speaker (Anti-bullying) (Keith Ellis and Kids Club)</t>
  </si>
  <si>
    <t>Swim Program (Sharon McLaughlin)</t>
  </si>
  <si>
    <t>Communication Budget (Meredith McLean)</t>
  </si>
  <si>
    <t>Loan to St. John School (to be paid back)</t>
  </si>
  <si>
    <t xml:space="preserve">Milk Program </t>
  </si>
  <si>
    <t>Balance as of Sept 6, 2013</t>
  </si>
  <si>
    <t>Milk Deposit</t>
  </si>
  <si>
    <t>Pizza Deposit</t>
  </si>
  <si>
    <t>Bank Charges</t>
  </si>
  <si>
    <t>Classroom Materials</t>
  </si>
  <si>
    <t>Christmas Market</t>
  </si>
  <si>
    <t xml:space="preserve">Magazines </t>
  </si>
  <si>
    <t>Academic Contests - Math (U of W)</t>
  </si>
  <si>
    <t>Gross Revenue</t>
  </si>
  <si>
    <t>Total Revenue</t>
  </si>
  <si>
    <t>Budget</t>
  </si>
  <si>
    <t>Principal's Discretionary Fund</t>
  </si>
  <si>
    <t>Rec. 1 Time Funding Request for 2013/14</t>
  </si>
  <si>
    <t>Expenses</t>
  </si>
  <si>
    <t>Fund Raising Revenue</t>
  </si>
  <si>
    <t>Fund Raising Expenses</t>
  </si>
  <si>
    <t>Balance per Bank Statement @ 30Oct13</t>
  </si>
  <si>
    <t>Current</t>
  </si>
  <si>
    <t>Total</t>
  </si>
  <si>
    <t>Previous</t>
  </si>
  <si>
    <t>Variance</t>
  </si>
  <si>
    <t>.</t>
  </si>
  <si>
    <t>Operating Contributions</t>
  </si>
  <si>
    <t>Total Operating Contributions</t>
  </si>
  <si>
    <t>AAC Initiatives (Ornella Parker)</t>
  </si>
  <si>
    <t>Stop PMT / Fee / Returns</t>
  </si>
  <si>
    <t>LESS:  2013 Remaining Committed Contributions</t>
  </si>
  <si>
    <t>FIP</t>
  </si>
  <si>
    <t>FTC</t>
  </si>
  <si>
    <t>LESS:  cheques not cleared in bank account</t>
  </si>
  <si>
    <t>G</t>
  </si>
  <si>
    <t>H=(D+E-F-G)</t>
  </si>
  <si>
    <t>Reconciliation to Bank Balance</t>
  </si>
  <si>
    <t>ADD:  Total Expected Net Revenue From Operations</t>
  </si>
  <si>
    <t>Class Trips (Buses incl. Gr 4 SwimtoSurvive)</t>
  </si>
  <si>
    <t>YTD-BDGT</t>
  </si>
  <si>
    <t>Classroom Materials ($200 x 31 teachers)</t>
  </si>
  <si>
    <t>Total 2013 Remaining Committed Contributions</t>
  </si>
  <si>
    <t>CAC Account</t>
  </si>
  <si>
    <t>CAC Liability</t>
  </si>
  <si>
    <t>CAC Treasurer Expenses</t>
  </si>
  <si>
    <t>CAC Welcome Bag (Corbin Tomaszeski)</t>
  </si>
  <si>
    <t>Balance per Books as at 30Oct13</t>
  </si>
  <si>
    <t>LESS:  2013/2014 FTC Operating Contributions</t>
  </si>
  <si>
    <t>Balance as of Oct 31, 2013</t>
  </si>
  <si>
    <t>Loan to St. John School (repaid this period)</t>
  </si>
  <si>
    <t>Balance per Books as at 31Dec13</t>
  </si>
  <si>
    <t>Balance per Bank Statement @ 31Dec13</t>
  </si>
  <si>
    <t>Virtue Award</t>
  </si>
  <si>
    <t>21s Century Learning</t>
  </si>
  <si>
    <t>Academic Affairs</t>
  </si>
  <si>
    <t>Scientists In The School</t>
  </si>
  <si>
    <t>Tables</t>
  </si>
  <si>
    <t>First Student ULC</t>
  </si>
  <si>
    <t>FIP = Funds In Place</t>
  </si>
  <si>
    <t>FTC = Funds to Complete</t>
  </si>
  <si>
    <t>Tables Purchase</t>
  </si>
  <si>
    <t>Approved</t>
  </si>
  <si>
    <t>Revised</t>
  </si>
  <si>
    <t>Yard Sale (net)</t>
  </si>
  <si>
    <t>2013 REM. COMMITTED CONTRIBUTIONS</t>
  </si>
  <si>
    <t>H=(D+E+F)</t>
  </si>
  <si>
    <t>Balance as of Dec 31, 2013</t>
  </si>
  <si>
    <t>Balance per Bank Statement @ 28Feb14</t>
  </si>
  <si>
    <t>Pizza Lunch Deposit</t>
  </si>
  <si>
    <t>CAC Budget Analysis - April 2014</t>
  </si>
  <si>
    <t>Balance per Books as at 28Feb14</t>
  </si>
  <si>
    <t>Christmas Bake Sale</t>
  </si>
  <si>
    <t>Net Contribution</t>
  </si>
  <si>
    <t>Total Net Contribution</t>
  </si>
  <si>
    <t>Balance as of Feb 28, 2014</t>
  </si>
  <si>
    <t>Chess &amp; Math Association</t>
  </si>
  <si>
    <t>Cheques &amp; Bank Fees</t>
  </si>
  <si>
    <t>Balance per Books as at 30April14</t>
  </si>
  <si>
    <t>Balance per Bank Statement @ 30April14</t>
  </si>
  <si>
    <t>CAC Budget Analysis - May 2014</t>
  </si>
  <si>
    <t>Aussie X</t>
  </si>
  <si>
    <t>was</t>
  </si>
  <si>
    <t>Uncleared Cheques</t>
  </si>
  <si>
    <t>Chess Club</t>
  </si>
  <si>
    <t xml:space="preserve">Chess Club </t>
  </si>
  <si>
    <t>Balance as of April 30, 2014</t>
  </si>
  <si>
    <t>Balance per Bank Statement @ 31May14</t>
  </si>
  <si>
    <t>Balance per Books as at 31May14</t>
  </si>
  <si>
    <t>CAC Budget Analysis - June 2014</t>
  </si>
  <si>
    <t>Communication (Scoop)</t>
  </si>
  <si>
    <t>Balance as of May 31, 2014</t>
  </si>
  <si>
    <t>CAC Budget Analysis - September 2014</t>
  </si>
  <si>
    <t>Chess Club Reimbursement</t>
  </si>
  <si>
    <t>Class trips</t>
  </si>
  <si>
    <t>AAC / Grad</t>
  </si>
  <si>
    <t>Balance per Books as at 31Aug14</t>
  </si>
  <si>
    <t>Balance per Bank Statement @ 31Aug14</t>
  </si>
  <si>
    <t>2013/2014</t>
  </si>
  <si>
    <t>2014/2015</t>
  </si>
  <si>
    <t>CSAC Banking</t>
  </si>
  <si>
    <t>Recommended Funding Request Approvals for 2014/2015</t>
  </si>
  <si>
    <t>CSAC 2014/2015 Forecast Operating Expenses</t>
  </si>
  <si>
    <t>Newsletter (Scoop)</t>
  </si>
  <si>
    <t>Class Trips (Buses)</t>
  </si>
  <si>
    <t>PRO Grant</t>
  </si>
  <si>
    <t>Scientist in the School (18 X $184/each)</t>
  </si>
  <si>
    <t>Kindergarten celebration</t>
  </si>
  <si>
    <t>French resources</t>
  </si>
  <si>
    <t>Color keys program</t>
  </si>
  <si>
    <t>Sound system</t>
  </si>
  <si>
    <t>Robotic</t>
  </si>
  <si>
    <t>Technology update projector</t>
  </si>
  <si>
    <t>Technology update ipad 10 mini &amp; reg</t>
  </si>
  <si>
    <t>Musical Instruments repairs/new</t>
  </si>
  <si>
    <t>Fun Fair April/May</t>
  </si>
  <si>
    <t>Occasions/Giving Back Oct - Dec</t>
  </si>
  <si>
    <t>Spring Fling Winter Feb</t>
  </si>
  <si>
    <t>Read 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</si>
</sst>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  <numFmt numFmtId="166" formatCode="_-[$$-409]* #,##0.00_ ;_-[$$-409]* \-#,##0.00\ ;_-[$$-409]* &quot;-&quot;??_ ;_-@_ "/>
    <numFmt numFmtId="167" formatCode="&quot;$&quot;#,##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</font>
    <font>
      <b/>
      <u/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5" fillId="2" borderId="0" xfId="0" applyFont="1" applyFill="1"/>
    <xf numFmtId="164" fontId="5" fillId="2" borderId="0" xfId="1" applyNumberFormat="1" applyFont="1" applyFill="1"/>
    <xf numFmtId="9" fontId="5" fillId="2" borderId="0" xfId="2" applyFont="1" applyFill="1" applyAlignment="1">
      <alignment horizontal="center"/>
    </xf>
    <xf numFmtId="164" fontId="5" fillId="2" borderId="0" xfId="1" applyNumberFormat="1" applyFont="1" applyFill="1" applyBorder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164" fontId="4" fillId="2" borderId="1" xfId="1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9" fillId="3" borderId="0" xfId="0" applyFont="1" applyFill="1"/>
    <xf numFmtId="164" fontId="9" fillId="3" borderId="0" xfId="0" applyNumberFormat="1" applyFont="1" applyFill="1"/>
    <xf numFmtId="0" fontId="10" fillId="3" borderId="0" xfId="0" applyFont="1" applyFill="1"/>
    <xf numFmtId="164" fontId="9" fillId="3" borderId="0" xfId="1" applyNumberFormat="1" applyFont="1" applyFill="1"/>
    <xf numFmtId="164" fontId="9" fillId="3" borderId="0" xfId="1" applyNumberFormat="1" applyFont="1" applyFill="1" applyBorder="1"/>
    <xf numFmtId="0" fontId="2" fillId="3" borderId="0" xfId="0" applyFont="1" applyFill="1"/>
    <xf numFmtId="164" fontId="10" fillId="3" borderId="2" xfId="1" applyNumberFormat="1" applyFont="1" applyFill="1" applyBorder="1"/>
    <xf numFmtId="0" fontId="9" fillId="3" borderId="0" xfId="0" applyFont="1" applyFill="1" applyBorder="1"/>
    <xf numFmtId="0" fontId="9" fillId="3" borderId="3" xfId="0" applyFont="1" applyFill="1" applyBorder="1"/>
    <xf numFmtId="164" fontId="9" fillId="3" borderId="3" xfId="1" applyNumberFormat="1" applyFont="1" applyFill="1" applyBorder="1"/>
    <xf numFmtId="0" fontId="9" fillId="3" borderId="4" xfId="0" applyFont="1" applyFill="1" applyBorder="1"/>
    <xf numFmtId="164" fontId="9" fillId="3" borderId="4" xfId="1" applyNumberFormat="1" applyFont="1" applyFill="1" applyBorder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Alignment="1">
      <alignment horizontal="center"/>
    </xf>
    <xf numFmtId="0" fontId="10" fillId="4" borderId="4" xfId="0" applyFont="1" applyFill="1" applyBorder="1"/>
    <xf numFmtId="164" fontId="9" fillId="4" borderId="4" xfId="1" applyNumberFormat="1" applyFont="1" applyFill="1" applyBorder="1"/>
    <xf numFmtId="0" fontId="10" fillId="4" borderId="0" xfId="0" applyFont="1" applyFill="1" applyBorder="1"/>
    <xf numFmtId="164" fontId="9" fillId="4" borderId="0" xfId="1" applyNumberFormat="1" applyFont="1" applyFill="1" applyBorder="1"/>
    <xf numFmtId="0" fontId="8" fillId="3" borderId="0" xfId="0" applyFont="1" applyFill="1"/>
    <xf numFmtId="44" fontId="8" fillId="3" borderId="0" xfId="1" applyNumberFormat="1" applyFont="1" applyFill="1"/>
    <xf numFmtId="0" fontId="8" fillId="3" borderId="1" xfId="0" applyFont="1" applyFill="1" applyBorder="1"/>
    <xf numFmtId="0" fontId="2" fillId="3" borderId="0" xfId="0" applyFont="1" applyFill="1" applyAlignment="1">
      <alignment horizontal="centerContinuous"/>
    </xf>
    <xf numFmtId="15" fontId="2" fillId="3" borderId="0" xfId="0" applyNumberFormat="1" applyFont="1" applyFill="1"/>
    <xf numFmtId="165" fontId="8" fillId="3" borderId="0" xfId="0" applyNumberFormat="1" applyFont="1" applyFill="1"/>
    <xf numFmtId="165" fontId="8" fillId="3" borderId="3" xfId="0" applyNumberFormat="1" applyFont="1" applyFill="1" applyBorder="1"/>
    <xf numFmtId="165" fontId="8" fillId="3" borderId="4" xfId="0" applyNumberFormat="1" applyFont="1" applyFill="1" applyBorder="1"/>
    <xf numFmtId="166" fontId="8" fillId="3" borderId="0" xfId="0" applyNumberFormat="1" applyFont="1" applyFill="1"/>
    <xf numFmtId="165" fontId="8" fillId="3" borderId="0" xfId="0" applyNumberFormat="1" applyFont="1" applyFill="1" applyBorder="1"/>
    <xf numFmtId="0" fontId="8" fillId="3" borderId="0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165" fontId="2" fillId="3" borderId="0" xfId="0" applyNumberFormat="1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165" fontId="2" fillId="3" borderId="5" xfId="0" applyNumberFormat="1" applyFont="1" applyFill="1" applyBorder="1"/>
    <xf numFmtId="0" fontId="2" fillId="3" borderId="5" xfId="0" applyFont="1" applyFill="1" applyBorder="1"/>
    <xf numFmtId="0" fontId="2" fillId="4" borderId="4" xfId="0" applyFont="1" applyFill="1" applyBorder="1"/>
    <xf numFmtId="0" fontId="8" fillId="4" borderId="4" xfId="0" applyFont="1" applyFill="1" applyBorder="1"/>
    <xf numFmtId="165" fontId="8" fillId="4" borderId="4" xfId="0" applyNumberFormat="1" applyFont="1" applyFill="1" applyBorder="1"/>
    <xf numFmtId="0" fontId="2" fillId="4" borderId="0" xfId="0" applyFont="1" applyFill="1" applyBorder="1"/>
    <xf numFmtId="0" fontId="8" fillId="4" borderId="0" xfId="0" applyFont="1" applyFill="1" applyBorder="1"/>
    <xf numFmtId="165" fontId="8" fillId="4" borderId="0" xfId="0" applyNumberFormat="1" applyFont="1" applyFill="1" applyBorder="1"/>
    <xf numFmtId="164" fontId="10" fillId="3" borderId="0" xfId="1" applyNumberFormat="1" applyFont="1" applyFill="1" applyBorder="1"/>
    <xf numFmtId="165" fontId="8" fillId="3" borderId="5" xfId="0" applyNumberFormat="1" applyFont="1" applyFill="1" applyBorder="1"/>
    <xf numFmtId="0" fontId="8" fillId="3" borderId="5" xfId="0" applyFont="1" applyFill="1" applyBorder="1"/>
    <xf numFmtId="165" fontId="8" fillId="3" borderId="1" xfId="0" applyNumberFormat="1" applyFont="1" applyFill="1" applyBorder="1"/>
    <xf numFmtId="165" fontId="2" fillId="3" borderId="1" xfId="0" applyNumberFormat="1" applyFont="1" applyFill="1" applyBorder="1"/>
    <xf numFmtId="9" fontId="9" fillId="3" borderId="0" xfId="2" applyFont="1" applyFill="1"/>
    <xf numFmtId="9" fontId="9" fillId="3" borderId="0" xfId="2" applyFont="1" applyFill="1" applyBorder="1"/>
    <xf numFmtId="0" fontId="11" fillId="3" borderId="0" xfId="0" applyFont="1" applyFill="1"/>
    <xf numFmtId="166" fontId="11" fillId="3" borderId="0" xfId="0" applyNumberFormat="1" applyFont="1" applyFill="1"/>
    <xf numFmtId="165" fontId="11" fillId="3" borderId="0" xfId="0" applyNumberFormat="1" applyFont="1" applyFill="1"/>
    <xf numFmtId="0" fontId="10" fillId="3" borderId="2" xfId="0" applyFont="1" applyFill="1" applyBorder="1"/>
    <xf numFmtId="0" fontId="2" fillId="3" borderId="2" xfId="0" applyFont="1" applyFill="1" applyBorder="1"/>
    <xf numFmtId="0" fontId="2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4" fontId="9" fillId="4" borderId="3" xfId="1" applyNumberFormat="1" applyFont="1" applyFill="1" applyBorder="1"/>
    <xf numFmtId="164" fontId="10" fillId="4" borderId="2" xfId="1" applyNumberFormat="1" applyFont="1" applyFill="1" applyBorder="1"/>
    <xf numFmtId="164" fontId="9" fillId="4" borderId="0" xfId="1" applyNumberFormat="1" applyFont="1" applyFill="1"/>
    <xf numFmtId="0" fontId="10" fillId="3" borderId="0" xfId="0" applyFont="1" applyFill="1" applyBorder="1"/>
    <xf numFmtId="44" fontId="9" fillId="3" borderId="0" xfId="1" applyNumberFormat="1" applyFont="1" applyFill="1" applyBorder="1"/>
    <xf numFmtId="44" fontId="9" fillId="3" borderId="4" xfId="1" applyNumberFormat="1" applyFont="1" applyFill="1" applyBorder="1"/>
    <xf numFmtId="44" fontId="9" fillId="3" borderId="3" xfId="1" applyNumberFormat="1" applyFont="1" applyFill="1" applyBorder="1"/>
    <xf numFmtId="44" fontId="9" fillId="4" borderId="0" xfId="1" applyNumberFormat="1" applyFont="1" applyFill="1" applyBorder="1"/>
    <xf numFmtId="0" fontId="7" fillId="3" borderId="0" xfId="0" applyFont="1" applyFill="1" applyBorder="1"/>
    <xf numFmtId="0" fontId="7" fillId="3" borderId="4" xfId="0" applyFont="1" applyFill="1" applyBorder="1"/>
    <xf numFmtId="0" fontId="7" fillId="3" borderId="0" xfId="0" applyFont="1" applyFill="1"/>
    <xf numFmtId="164" fontId="9" fillId="3" borderId="3" xfId="0" applyNumberFormat="1" applyFont="1" applyFill="1" applyBorder="1"/>
    <xf numFmtId="164" fontId="2" fillId="3" borderId="0" xfId="0" applyNumberFormat="1" applyFont="1" applyFill="1" applyAlignment="1">
      <alignment horizontal="center" wrapText="1"/>
    </xf>
    <xf numFmtId="164" fontId="10" fillId="3" borderId="0" xfId="0" applyNumberFormat="1" applyFont="1" applyFill="1" applyAlignment="1">
      <alignment horizontal="center"/>
    </xf>
    <xf numFmtId="164" fontId="9" fillId="3" borderId="0" xfId="0" applyNumberFormat="1" applyFont="1" applyFill="1" applyBorder="1"/>
    <xf numFmtId="164" fontId="9" fillId="3" borderId="0" xfId="2" applyNumberFormat="1" applyFont="1" applyFill="1"/>
    <xf numFmtId="0" fontId="2" fillId="3" borderId="3" xfId="0" applyFont="1" applyFill="1" applyBorder="1"/>
    <xf numFmtId="0" fontId="4" fillId="2" borderId="0" xfId="0" applyFont="1" applyFill="1" applyAlignment="1">
      <alignment horizontal="center"/>
    </xf>
    <xf numFmtId="167" fontId="14" fillId="3" borderId="0" xfId="1" applyNumberFormat="1" applyFont="1" applyFill="1" applyBorder="1"/>
    <xf numFmtId="167" fontId="4" fillId="2" borderId="1" xfId="1" applyNumberFormat="1" applyFont="1" applyFill="1" applyBorder="1"/>
    <xf numFmtId="167" fontId="5" fillId="2" borderId="0" xfId="1" applyNumberFormat="1" applyFont="1" applyFill="1"/>
    <xf numFmtId="167" fontId="5" fillId="2" borderId="0" xfId="1" applyNumberFormat="1" applyFont="1" applyFill="1" applyBorder="1"/>
    <xf numFmtId="3" fontId="14" fillId="3" borderId="0" xfId="1" applyNumberFormat="1" applyFont="1" applyFill="1" applyBorder="1"/>
    <xf numFmtId="0" fontId="6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wnloads\account%20ledger%202013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F8">
            <v>2799.37</v>
          </cell>
        </row>
        <row r="9">
          <cell r="F9">
            <v>435.05</v>
          </cell>
        </row>
        <row r="10">
          <cell r="F10">
            <v>120</v>
          </cell>
        </row>
        <row r="11">
          <cell r="F11">
            <v>700</v>
          </cell>
        </row>
        <row r="12">
          <cell r="F12">
            <v>59.95</v>
          </cell>
        </row>
        <row r="13">
          <cell r="F13">
            <v>452</v>
          </cell>
        </row>
        <row r="14">
          <cell r="F14">
            <v>122.76</v>
          </cell>
        </row>
        <row r="15">
          <cell r="F15">
            <v>188.82</v>
          </cell>
        </row>
        <row r="17">
          <cell r="F17">
            <v>200</v>
          </cell>
        </row>
        <row r="18">
          <cell r="F18">
            <v>447.09</v>
          </cell>
        </row>
        <row r="19">
          <cell r="F19">
            <v>559.04</v>
          </cell>
        </row>
        <row r="20">
          <cell r="F20">
            <v>921.43</v>
          </cell>
        </row>
        <row r="21">
          <cell r="F21">
            <v>849.5</v>
          </cell>
        </row>
        <row r="22">
          <cell r="F22">
            <v>491.78</v>
          </cell>
        </row>
        <row r="27">
          <cell r="F27">
            <v>200</v>
          </cell>
        </row>
        <row r="28">
          <cell r="F28">
            <v>200</v>
          </cell>
        </row>
        <row r="29">
          <cell r="F29">
            <v>56.78</v>
          </cell>
        </row>
        <row r="30">
          <cell r="F30">
            <v>100</v>
          </cell>
        </row>
        <row r="31">
          <cell r="F31">
            <v>226</v>
          </cell>
        </row>
        <row r="32">
          <cell r="F32">
            <v>74.540000000000006</v>
          </cell>
        </row>
        <row r="33">
          <cell r="F33">
            <v>651.66999999999996</v>
          </cell>
        </row>
        <row r="34">
          <cell r="F34">
            <v>86.99</v>
          </cell>
        </row>
        <row r="35">
          <cell r="F35">
            <v>110.2</v>
          </cell>
        </row>
        <row r="36">
          <cell r="F36">
            <v>103.46</v>
          </cell>
        </row>
        <row r="37">
          <cell r="F37">
            <v>634</v>
          </cell>
        </row>
        <row r="38">
          <cell r="F38">
            <v>17.8</v>
          </cell>
        </row>
        <row r="39">
          <cell r="F39">
            <v>575</v>
          </cell>
        </row>
        <row r="40">
          <cell r="F40">
            <v>559.96</v>
          </cell>
        </row>
        <row r="41">
          <cell r="F41">
            <v>200</v>
          </cell>
        </row>
        <row r="42">
          <cell r="F42">
            <v>460.9</v>
          </cell>
        </row>
        <row r="44">
          <cell r="F44">
            <v>200</v>
          </cell>
        </row>
        <row r="45">
          <cell r="F45">
            <v>300</v>
          </cell>
        </row>
        <row r="46">
          <cell r="F46">
            <v>1405.87</v>
          </cell>
        </row>
        <row r="47">
          <cell r="F47">
            <v>3000</v>
          </cell>
        </row>
        <row r="48">
          <cell r="F48">
            <v>634</v>
          </cell>
        </row>
        <row r="49">
          <cell r="F49">
            <v>858.02</v>
          </cell>
        </row>
        <row r="50">
          <cell r="D50">
            <v>226.8</v>
          </cell>
        </row>
        <row r="51">
          <cell r="D51">
            <v>56.8</v>
          </cell>
        </row>
        <row r="52">
          <cell r="B52">
            <v>300</v>
          </cell>
        </row>
        <row r="53">
          <cell r="B53">
            <v>3719.4</v>
          </cell>
        </row>
        <row r="54">
          <cell r="D54">
            <v>83</v>
          </cell>
        </row>
        <row r="55">
          <cell r="B55">
            <v>100</v>
          </cell>
        </row>
        <row r="56">
          <cell r="D56">
            <v>491.48</v>
          </cell>
        </row>
        <row r="57">
          <cell r="F57">
            <v>116.58</v>
          </cell>
        </row>
        <row r="58">
          <cell r="F58">
            <v>175.43</v>
          </cell>
        </row>
        <row r="59">
          <cell r="F59">
            <v>135.47</v>
          </cell>
        </row>
        <row r="60">
          <cell r="F60">
            <v>406.41</v>
          </cell>
        </row>
        <row r="61">
          <cell r="F61">
            <v>587.53</v>
          </cell>
        </row>
        <row r="62">
          <cell r="F62">
            <v>270.94</v>
          </cell>
        </row>
        <row r="63">
          <cell r="F63">
            <v>94</v>
          </cell>
        </row>
        <row r="64">
          <cell r="F64">
            <v>145.08000000000001</v>
          </cell>
        </row>
        <row r="65">
          <cell r="F65">
            <v>625</v>
          </cell>
        </row>
        <row r="66">
          <cell r="F66">
            <v>34.56</v>
          </cell>
        </row>
        <row r="67">
          <cell r="F67">
            <v>105</v>
          </cell>
        </row>
        <row r="68">
          <cell r="N68" t="str">
            <v>390.81</v>
          </cell>
          <cell r="P68">
            <v>415.46</v>
          </cell>
        </row>
        <row r="69">
          <cell r="F69">
            <v>945</v>
          </cell>
        </row>
        <row r="70">
          <cell r="F70">
            <v>200</v>
          </cell>
        </row>
        <row r="71">
          <cell r="F71">
            <v>667.13</v>
          </cell>
        </row>
        <row r="72">
          <cell r="F72">
            <v>378</v>
          </cell>
        </row>
        <row r="73">
          <cell r="F73">
            <v>562.91</v>
          </cell>
        </row>
        <row r="74">
          <cell r="D74">
            <v>765</v>
          </cell>
        </row>
        <row r="75">
          <cell r="D75">
            <v>70</v>
          </cell>
        </row>
        <row r="76">
          <cell r="P76">
            <v>1090.33</v>
          </cell>
        </row>
        <row r="77">
          <cell r="D77">
            <v>450.9</v>
          </cell>
        </row>
        <row r="78">
          <cell r="D78">
            <v>32.5</v>
          </cell>
        </row>
        <row r="79">
          <cell r="D79">
            <v>5913.65</v>
          </cell>
        </row>
        <row r="80">
          <cell r="F80">
            <v>16.690000000000001</v>
          </cell>
        </row>
        <row r="81">
          <cell r="F81">
            <v>645.36</v>
          </cell>
        </row>
        <row r="82">
          <cell r="F82">
            <v>602.4</v>
          </cell>
        </row>
        <row r="83">
          <cell r="F83">
            <v>353</v>
          </cell>
        </row>
        <row r="84">
          <cell r="F84">
            <v>20</v>
          </cell>
        </row>
        <row r="85">
          <cell r="F85">
            <v>24</v>
          </cell>
        </row>
        <row r="86">
          <cell r="F86">
            <v>25</v>
          </cell>
        </row>
        <row r="87">
          <cell r="F87">
            <v>699.04</v>
          </cell>
        </row>
        <row r="88">
          <cell r="F88">
            <v>200</v>
          </cell>
        </row>
        <row r="89">
          <cell r="F89">
            <v>164</v>
          </cell>
        </row>
        <row r="90">
          <cell r="F90">
            <v>200</v>
          </cell>
        </row>
        <row r="91">
          <cell r="F91">
            <v>2496</v>
          </cell>
        </row>
        <row r="92">
          <cell r="F92">
            <v>353</v>
          </cell>
        </row>
        <row r="93">
          <cell r="F93">
            <v>499.32</v>
          </cell>
          <cell r="J93" t="str">
            <v>Class Trips</v>
          </cell>
        </row>
        <row r="94">
          <cell r="F94">
            <v>903.65</v>
          </cell>
        </row>
        <row r="95">
          <cell r="F95">
            <v>200</v>
          </cell>
        </row>
        <row r="96">
          <cell r="F96">
            <v>188.34</v>
          </cell>
        </row>
        <row r="97">
          <cell r="F97">
            <v>160</v>
          </cell>
          <cell r="J97" t="str">
            <v>Academic Affairs</v>
          </cell>
        </row>
        <row r="98">
          <cell r="F98">
            <v>294.56</v>
          </cell>
        </row>
        <row r="99">
          <cell r="F99">
            <v>602.4</v>
          </cell>
        </row>
        <row r="100">
          <cell r="F100">
            <v>312.5</v>
          </cell>
        </row>
        <row r="101">
          <cell r="F101">
            <v>796.23</v>
          </cell>
        </row>
        <row r="102">
          <cell r="D102">
            <v>4500</v>
          </cell>
        </row>
        <row r="103">
          <cell r="D103">
            <v>40.35</v>
          </cell>
        </row>
        <row r="104">
          <cell r="D104">
            <v>5418.3</v>
          </cell>
        </row>
        <row r="105">
          <cell r="D105">
            <v>30</v>
          </cell>
        </row>
        <row r="106">
          <cell r="D106">
            <v>23.75</v>
          </cell>
        </row>
        <row r="107">
          <cell r="F107">
            <v>51</v>
          </cell>
        </row>
        <row r="109">
          <cell r="F109">
            <v>404.97</v>
          </cell>
        </row>
        <row r="110">
          <cell r="F110">
            <v>779.04</v>
          </cell>
        </row>
        <row r="111">
          <cell r="F111">
            <v>123.42</v>
          </cell>
        </row>
        <row r="112">
          <cell r="F112">
            <v>101.7</v>
          </cell>
        </row>
        <row r="113">
          <cell r="F113">
            <v>200</v>
          </cell>
        </row>
        <row r="114">
          <cell r="F114">
            <v>339.13</v>
          </cell>
        </row>
        <row r="115">
          <cell r="F115">
            <v>189</v>
          </cell>
        </row>
        <row r="116">
          <cell r="F116">
            <v>283.97000000000003</v>
          </cell>
        </row>
        <row r="117">
          <cell r="F117">
            <v>381.54</v>
          </cell>
        </row>
        <row r="118">
          <cell r="F118">
            <v>542</v>
          </cell>
        </row>
        <row r="119">
          <cell r="F119">
            <v>148.22999999999999</v>
          </cell>
        </row>
        <row r="120">
          <cell r="F120">
            <v>173.27</v>
          </cell>
        </row>
        <row r="121">
          <cell r="F121">
            <v>115.83</v>
          </cell>
        </row>
        <row r="122">
          <cell r="F122">
            <v>3800</v>
          </cell>
        </row>
        <row r="123">
          <cell r="F123">
            <v>648.30999999999995</v>
          </cell>
          <cell r="N123" t="str">
            <v>368.33</v>
          </cell>
        </row>
        <row r="124">
          <cell r="F124">
            <v>161.33000000000001</v>
          </cell>
        </row>
        <row r="125">
          <cell r="F125">
            <v>618.20000000000005</v>
          </cell>
        </row>
        <row r="126">
          <cell r="F126">
            <v>200</v>
          </cell>
        </row>
        <row r="127">
          <cell r="F127">
            <v>75</v>
          </cell>
        </row>
        <row r="128">
          <cell r="F128">
            <v>157.41</v>
          </cell>
        </row>
        <row r="129">
          <cell r="F129">
            <v>186.65</v>
          </cell>
        </row>
        <row r="130">
          <cell r="F130">
            <v>200</v>
          </cell>
        </row>
        <row r="131">
          <cell r="F131">
            <v>50.33</v>
          </cell>
        </row>
        <row r="132">
          <cell r="F132">
            <v>34.47</v>
          </cell>
        </row>
        <row r="133">
          <cell r="F133">
            <v>200</v>
          </cell>
        </row>
        <row r="134">
          <cell r="F134">
            <v>200</v>
          </cell>
        </row>
        <row r="135">
          <cell r="F135">
            <v>520.96</v>
          </cell>
        </row>
        <row r="136">
          <cell r="F136">
            <v>70.92</v>
          </cell>
        </row>
        <row r="137">
          <cell r="F137">
            <v>40.229999999999997</v>
          </cell>
        </row>
        <row r="138">
          <cell r="F138">
            <v>555.01</v>
          </cell>
        </row>
        <row r="139">
          <cell r="F139">
            <v>45.65</v>
          </cell>
        </row>
        <row r="140">
          <cell r="F140">
            <v>89.83</v>
          </cell>
        </row>
        <row r="141">
          <cell r="F141">
            <v>200</v>
          </cell>
        </row>
        <row r="142">
          <cell r="F142">
            <v>200</v>
          </cell>
        </row>
        <row r="143">
          <cell r="F143">
            <v>1612</v>
          </cell>
        </row>
        <row r="144">
          <cell r="F144">
            <v>308.08999999999997</v>
          </cell>
        </row>
        <row r="145">
          <cell r="F145">
            <v>923.73</v>
          </cell>
        </row>
        <row r="146">
          <cell r="F146">
            <v>61.25</v>
          </cell>
        </row>
        <row r="148">
          <cell r="F148">
            <v>499.32</v>
          </cell>
        </row>
        <row r="149">
          <cell r="F149">
            <v>449.91</v>
          </cell>
        </row>
        <row r="150">
          <cell r="F150">
            <v>39.19</v>
          </cell>
        </row>
        <row r="151">
          <cell r="F151">
            <v>789.9</v>
          </cell>
        </row>
        <row r="152">
          <cell r="F152">
            <v>499.46</v>
          </cell>
        </row>
        <row r="153">
          <cell r="F153">
            <v>61.3</v>
          </cell>
        </row>
        <row r="154">
          <cell r="F154">
            <v>126.11</v>
          </cell>
        </row>
        <row r="155">
          <cell r="F155">
            <v>344.62</v>
          </cell>
        </row>
        <row r="156">
          <cell r="F156">
            <v>1093.47</v>
          </cell>
        </row>
        <row r="158">
          <cell r="D158">
            <v>2475.75</v>
          </cell>
        </row>
        <row r="159">
          <cell r="D159">
            <v>213.45</v>
          </cell>
        </row>
        <row r="162">
          <cell r="F162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selection activeCell="O13" sqref="O13"/>
    </sheetView>
  </sheetViews>
  <sheetFormatPr defaultColWidth="11.44140625" defaultRowHeight="13.2" x14ac:dyDescent="0.25"/>
  <cols>
    <col min="1" max="1" width="12.109375" style="12" customWidth="1"/>
    <col min="2" max="2" width="31.109375" style="12" bestFit="1" customWidth="1"/>
    <col min="3" max="3" width="9.6640625" style="12" bestFit="1" customWidth="1"/>
    <col min="4" max="4" width="8.6640625" style="12" customWidth="1"/>
    <col min="5" max="5" width="8.88671875" style="12" bestFit="1" customWidth="1"/>
    <col min="6" max="6" width="10.88671875" style="12" bestFit="1" customWidth="1"/>
    <col min="7" max="7" width="8.6640625" style="12" bestFit="1" customWidth="1"/>
    <col min="8" max="8" width="8.6640625" style="12" customWidth="1"/>
    <col min="9" max="9" width="10.33203125" style="12" bestFit="1" customWidth="1"/>
    <col min="10" max="10" width="4.44140625" style="12" customWidth="1"/>
    <col min="11" max="11" width="38.88671875" style="12" bestFit="1" customWidth="1"/>
    <col min="12" max="12" width="10.33203125" style="12" bestFit="1" customWidth="1"/>
    <col min="13" max="13" width="8.88671875" style="12" bestFit="1" customWidth="1"/>
    <col min="14" max="14" width="10.33203125" style="13" bestFit="1" customWidth="1"/>
    <col min="15" max="16" width="8.6640625" style="12" bestFit="1" customWidth="1"/>
    <col min="17" max="17" width="11.44140625" style="12" bestFit="1" customWidth="1"/>
    <col min="18" max="16384" width="11.44140625" style="12"/>
  </cols>
  <sheetData>
    <row r="1" spans="1:18" x14ac:dyDescent="0.25">
      <c r="A1" s="19"/>
      <c r="B1" s="47" t="s">
        <v>164</v>
      </c>
      <c r="C1" s="19"/>
      <c r="D1" s="19"/>
      <c r="E1" s="19"/>
      <c r="F1" s="19"/>
    </row>
    <row r="2" spans="1:18" x14ac:dyDescent="0.25">
      <c r="B2" s="47"/>
      <c r="C2" s="20"/>
      <c r="D2" s="20"/>
      <c r="E2" s="20"/>
      <c r="F2" s="20"/>
      <c r="G2" s="20"/>
      <c r="H2" s="20"/>
      <c r="I2" s="20"/>
      <c r="L2" s="20"/>
      <c r="M2" s="20"/>
      <c r="N2" s="82"/>
      <c r="O2" s="20"/>
      <c r="P2" s="20"/>
      <c r="Q2" s="20"/>
    </row>
    <row r="3" spans="1:18" x14ac:dyDescent="0.25">
      <c r="A3" s="17"/>
      <c r="B3" s="48"/>
      <c r="C3" s="25" t="s">
        <v>134</v>
      </c>
      <c r="D3" s="25" t="s">
        <v>135</v>
      </c>
      <c r="E3" s="25" t="s">
        <v>96</v>
      </c>
      <c r="F3" s="26" t="s">
        <v>94</v>
      </c>
      <c r="G3" s="25" t="s">
        <v>104</v>
      </c>
      <c r="H3" s="69"/>
      <c r="I3" s="25" t="s">
        <v>112</v>
      </c>
      <c r="K3" s="22"/>
      <c r="L3" s="25"/>
      <c r="M3" s="25" t="s">
        <v>96</v>
      </c>
      <c r="N3" s="83" t="s">
        <v>94</v>
      </c>
      <c r="O3" s="25" t="s">
        <v>104</v>
      </c>
      <c r="P3" s="25"/>
      <c r="Q3" s="25" t="s">
        <v>112</v>
      </c>
    </row>
    <row r="4" spans="1:18" x14ac:dyDescent="0.25">
      <c r="B4" s="14" t="s">
        <v>85</v>
      </c>
      <c r="C4" s="28" t="s">
        <v>87</v>
      </c>
      <c r="D4" s="28" t="s">
        <v>87</v>
      </c>
      <c r="E4" s="28" t="s">
        <v>104</v>
      </c>
      <c r="F4" s="28" t="s">
        <v>104</v>
      </c>
      <c r="G4" s="28" t="s">
        <v>95</v>
      </c>
      <c r="H4" s="70" t="s">
        <v>105</v>
      </c>
      <c r="I4" s="28" t="s">
        <v>97</v>
      </c>
      <c r="K4" s="14" t="s">
        <v>99</v>
      </c>
      <c r="L4" s="28" t="s">
        <v>87</v>
      </c>
      <c r="M4" s="28" t="s">
        <v>104</v>
      </c>
      <c r="N4" s="84" t="s">
        <v>104</v>
      </c>
      <c r="O4" s="28" t="s">
        <v>95</v>
      </c>
      <c r="P4" s="28" t="s">
        <v>105</v>
      </c>
      <c r="Q4" s="28" t="s">
        <v>97</v>
      </c>
    </row>
    <row r="5" spans="1:18" x14ac:dyDescent="0.25">
      <c r="B5" s="22" t="s">
        <v>0</v>
      </c>
      <c r="C5" s="23">
        <v>10612</v>
      </c>
      <c r="D5" s="23">
        <f>C5</f>
        <v>10612</v>
      </c>
      <c r="E5" s="23">
        <v>10175.25</v>
      </c>
      <c r="F5" s="23">
        <v>0</v>
      </c>
      <c r="G5" s="23">
        <f>SUM(E5:F5)</f>
        <v>10175.25</v>
      </c>
      <c r="H5" s="30">
        <v>0</v>
      </c>
      <c r="I5" s="23">
        <f>G5-C5</f>
        <v>-436.75</v>
      </c>
      <c r="K5" s="29" t="s">
        <v>16</v>
      </c>
      <c r="L5" s="29"/>
      <c r="M5" s="29"/>
      <c r="N5" s="30"/>
      <c r="O5" s="29"/>
      <c r="P5" s="29"/>
      <c r="Q5" s="30"/>
    </row>
    <row r="6" spans="1:18" x14ac:dyDescent="0.25">
      <c r="B6" s="19" t="s">
        <v>2</v>
      </c>
      <c r="C6" s="16">
        <v>1500</v>
      </c>
      <c r="D6" s="16">
        <f t="shared" ref="D6:D14" si="0">C6</f>
        <v>1500</v>
      </c>
      <c r="E6" s="16">
        <v>1090.33</v>
      </c>
      <c r="F6" s="16">
        <v>0</v>
      </c>
      <c r="G6" s="16">
        <f t="shared" ref="G6:G15" si="1">SUM(E6:F6)</f>
        <v>1090.33</v>
      </c>
      <c r="H6" s="32">
        <v>0</v>
      </c>
      <c r="I6" s="16">
        <f t="shared" ref="I6:I14" si="2">G6-C6</f>
        <v>-409.67000000000007</v>
      </c>
      <c r="K6" s="19" t="s">
        <v>18</v>
      </c>
      <c r="L6" s="16">
        <v>650</v>
      </c>
      <c r="M6" s="16">
        <f>312.5+340.95</f>
        <v>653.45000000000005</v>
      </c>
      <c r="N6" s="75">
        <v>0</v>
      </c>
      <c r="O6" s="16">
        <f>N6+M6</f>
        <v>653.45000000000005</v>
      </c>
      <c r="P6" s="32">
        <f>L6-O6</f>
        <v>-3.4500000000000455</v>
      </c>
      <c r="Q6" s="16">
        <f>O6-L6</f>
        <v>3.4500000000000455</v>
      </c>
    </row>
    <row r="7" spans="1:18" x14ac:dyDescent="0.25">
      <c r="B7" s="19" t="s">
        <v>82</v>
      </c>
      <c r="C7" s="16">
        <v>5000</v>
      </c>
      <c r="D7" s="16">
        <f t="shared" si="0"/>
        <v>5000</v>
      </c>
      <c r="E7" s="16">
        <v>4954.3999999999996</v>
      </c>
      <c r="F7" s="16">
        <v>0</v>
      </c>
      <c r="G7" s="16">
        <f>SUM(E7:F7)</f>
        <v>4954.3999999999996</v>
      </c>
      <c r="H7" s="32">
        <v>0</v>
      </c>
      <c r="I7" s="16">
        <f t="shared" si="2"/>
        <v>-45.600000000000364</v>
      </c>
      <c r="K7" s="19" t="s">
        <v>19</v>
      </c>
      <c r="L7" s="16">
        <v>500</v>
      </c>
      <c r="M7" s="16">
        <v>404.97</v>
      </c>
      <c r="N7" s="16">
        <f>[1]Sheet1!$F$127</f>
        <v>75</v>
      </c>
      <c r="O7" s="16">
        <f t="shared" ref="O7:O32" si="3">N7+M7</f>
        <v>479.97</v>
      </c>
      <c r="P7" s="32">
        <f t="shared" ref="P7:P32" si="4">L7-O7</f>
        <v>20.029999999999973</v>
      </c>
      <c r="Q7" s="16">
        <f t="shared" ref="Q7:Q32" si="5">O7-L7</f>
        <v>-20.029999999999973</v>
      </c>
    </row>
    <row r="8" spans="1:18" x14ac:dyDescent="0.25">
      <c r="B8" s="19" t="s">
        <v>144</v>
      </c>
      <c r="C8" s="16">
        <v>0</v>
      </c>
      <c r="D8" s="16">
        <v>1032</v>
      </c>
      <c r="E8" s="16">
        <v>1032.25</v>
      </c>
      <c r="F8" s="16">
        <v>0</v>
      </c>
      <c r="G8" s="16">
        <f>SUM(E8:F8)</f>
        <v>1032.25</v>
      </c>
      <c r="H8" s="32">
        <v>0</v>
      </c>
      <c r="I8" s="16">
        <f>G8-D8</f>
        <v>0.25</v>
      </c>
      <c r="K8" s="27" t="s">
        <v>88</v>
      </c>
      <c r="L8" s="16">
        <v>3800</v>
      </c>
      <c r="M8" s="16">
        <v>3800</v>
      </c>
      <c r="N8" s="75">
        <v>0</v>
      </c>
      <c r="O8" s="16">
        <f t="shared" si="3"/>
        <v>3800</v>
      </c>
      <c r="P8" s="32">
        <f t="shared" si="4"/>
        <v>0</v>
      </c>
      <c r="Q8" s="16">
        <f t="shared" si="5"/>
        <v>0</v>
      </c>
    </row>
    <row r="9" spans="1:18" x14ac:dyDescent="0.25">
      <c r="B9" s="19" t="s">
        <v>52</v>
      </c>
      <c r="C9" s="16">
        <v>6700</v>
      </c>
      <c r="D9" s="16">
        <v>8000</v>
      </c>
      <c r="E9" s="16">
        <v>5448.3</v>
      </c>
      <c r="F9" s="16">
        <v>20</v>
      </c>
      <c r="G9" s="16">
        <f t="shared" si="1"/>
        <v>5468.3</v>
      </c>
      <c r="H9" s="32">
        <v>0</v>
      </c>
      <c r="I9" s="16">
        <f>G9-D9</f>
        <v>-2531.6999999999998</v>
      </c>
      <c r="K9" s="31" t="s">
        <v>20</v>
      </c>
      <c r="L9" s="32"/>
      <c r="M9" s="32"/>
      <c r="N9" s="78"/>
      <c r="O9" s="32"/>
      <c r="P9" s="32"/>
      <c r="Q9" s="32"/>
    </row>
    <row r="10" spans="1:18" x14ac:dyDescent="0.25">
      <c r="B10" s="19" t="s">
        <v>3</v>
      </c>
      <c r="C10" s="16">
        <v>14000</v>
      </c>
      <c r="D10" s="16">
        <f>F10</f>
        <v>2475.75</v>
      </c>
      <c r="E10" s="16">
        <v>0</v>
      </c>
      <c r="F10" s="16">
        <f>[1]Sheet1!$D$158</f>
        <v>2475.75</v>
      </c>
      <c r="G10" s="16">
        <f t="shared" si="1"/>
        <v>2475.75</v>
      </c>
      <c r="H10" s="32">
        <f>D10-G10</f>
        <v>0</v>
      </c>
      <c r="I10" s="16">
        <f>G10-D10</f>
        <v>0</v>
      </c>
      <c r="K10" s="27" t="s">
        <v>113</v>
      </c>
      <c r="L10" s="16">
        <v>6200</v>
      </c>
      <c r="M10" s="16">
        <f>1965.09+788.34+521.5</f>
        <v>3274.93</v>
      </c>
      <c r="N10" s="16">
        <f>[1]Sheet1!$F$142+[1]Sheet1!$F$141+[1]Sheet1!$F$136+[1]Sheet1!$F$134+[1]Sheet1!$F$133+[1]Sheet1!$F$130+[1]Sheet1!$F$129+[1]Sheet1!$F$128+[1]Sheet1!$F$126+200+400</f>
        <v>2214.9800000000005</v>
      </c>
      <c r="O10" s="16">
        <f t="shared" si="3"/>
        <v>5489.91</v>
      </c>
      <c r="P10" s="32">
        <f t="shared" si="4"/>
        <v>710.09000000000015</v>
      </c>
      <c r="Q10" s="16">
        <f t="shared" si="5"/>
        <v>-710.09000000000015</v>
      </c>
    </row>
    <row r="11" spans="1:18" x14ac:dyDescent="0.25">
      <c r="B11" s="19" t="s">
        <v>4</v>
      </c>
      <c r="C11" s="16">
        <v>500</v>
      </c>
      <c r="D11" s="16">
        <f t="shared" si="0"/>
        <v>500</v>
      </c>
      <c r="E11" s="16">
        <v>0</v>
      </c>
      <c r="F11" s="16">
        <v>0</v>
      </c>
      <c r="G11" s="16">
        <f t="shared" si="1"/>
        <v>0</v>
      </c>
      <c r="H11" s="32">
        <f>D11-G11</f>
        <v>500</v>
      </c>
      <c r="I11" s="16">
        <f t="shared" si="2"/>
        <v>-500</v>
      </c>
      <c r="K11" s="31" t="s">
        <v>27</v>
      </c>
      <c r="L11" s="32"/>
      <c r="M11" s="32"/>
      <c r="N11" s="78"/>
      <c r="O11" s="32"/>
      <c r="P11" s="32"/>
      <c r="Q11" s="32"/>
      <c r="R11" s="12" t="s">
        <v>154</v>
      </c>
    </row>
    <row r="12" spans="1:18" x14ac:dyDescent="0.25">
      <c r="B12" s="19" t="s">
        <v>10</v>
      </c>
      <c r="C12" s="16">
        <v>1200</v>
      </c>
      <c r="D12" s="16">
        <f t="shared" si="0"/>
        <v>1200</v>
      </c>
      <c r="E12" s="16">
        <v>699.84999999999991</v>
      </c>
      <c r="F12" s="16">
        <f>[1]Sheet1!$D$159</f>
        <v>213.45</v>
      </c>
      <c r="G12" s="16">
        <f t="shared" si="1"/>
        <v>913.3</v>
      </c>
      <c r="H12" s="32">
        <v>0</v>
      </c>
      <c r="I12" s="16">
        <f t="shared" si="2"/>
        <v>-286.70000000000005</v>
      </c>
      <c r="K12" s="19" t="s">
        <v>21</v>
      </c>
      <c r="L12" s="16">
        <v>1300</v>
      </c>
      <c r="M12" s="16">
        <v>0</v>
      </c>
      <c r="N12" s="16">
        <f>[1]Sheet1!$F$140+[1]Sheet1!$F$149+[1]Sheet1!$F$153+[1]Sheet1!$F$162</f>
        <v>781.04</v>
      </c>
      <c r="O12" s="16">
        <f t="shared" si="3"/>
        <v>781.04</v>
      </c>
      <c r="P12" s="32">
        <f t="shared" si="4"/>
        <v>518.96</v>
      </c>
      <c r="Q12" s="16">
        <f t="shared" si="5"/>
        <v>-518.96</v>
      </c>
    </row>
    <row r="13" spans="1:18" x14ac:dyDescent="0.25">
      <c r="B13" s="19" t="s">
        <v>7</v>
      </c>
      <c r="C13" s="16">
        <v>11500</v>
      </c>
      <c r="D13" s="16">
        <f t="shared" si="0"/>
        <v>11500</v>
      </c>
      <c r="E13" s="16">
        <f>10996.7+16.6</f>
        <v>11013.300000000001</v>
      </c>
      <c r="F13" s="75">
        <v>0</v>
      </c>
      <c r="G13" s="16">
        <f t="shared" si="1"/>
        <v>11013.300000000001</v>
      </c>
      <c r="H13" s="32">
        <v>0</v>
      </c>
      <c r="I13" s="16">
        <f t="shared" si="2"/>
        <v>-486.69999999999891</v>
      </c>
      <c r="K13" s="19" t="s">
        <v>22</v>
      </c>
      <c r="L13" s="16">
        <v>150</v>
      </c>
      <c r="M13" s="16">
        <v>131.32</v>
      </c>
      <c r="N13" s="75">
        <v>0</v>
      </c>
      <c r="O13" s="16">
        <f t="shared" si="3"/>
        <v>131.32</v>
      </c>
      <c r="P13" s="32">
        <f t="shared" si="4"/>
        <v>18.680000000000007</v>
      </c>
      <c r="Q13" s="16">
        <f t="shared" si="5"/>
        <v>-18.680000000000007</v>
      </c>
    </row>
    <row r="14" spans="1:18" x14ac:dyDescent="0.25">
      <c r="A14" s="14"/>
      <c r="B14" s="19" t="s">
        <v>8</v>
      </c>
      <c r="C14" s="16">
        <v>8000</v>
      </c>
      <c r="D14" s="16">
        <f t="shared" si="0"/>
        <v>8000</v>
      </c>
      <c r="E14" s="16">
        <v>8491.0999999999985</v>
      </c>
      <c r="F14" s="16">
        <v>0</v>
      </c>
      <c r="G14" s="16">
        <f t="shared" si="1"/>
        <v>8491.0999999999985</v>
      </c>
      <c r="H14" s="32">
        <v>0</v>
      </c>
      <c r="I14" s="16">
        <f t="shared" si="2"/>
        <v>491.09999999999854</v>
      </c>
      <c r="K14" s="19" t="s">
        <v>24</v>
      </c>
      <c r="L14" s="16">
        <v>0</v>
      </c>
      <c r="M14" s="16">
        <v>0</v>
      </c>
      <c r="N14" s="75">
        <v>0</v>
      </c>
      <c r="O14" s="16">
        <f t="shared" si="3"/>
        <v>0</v>
      </c>
      <c r="P14" s="32">
        <f t="shared" si="4"/>
        <v>0</v>
      </c>
      <c r="Q14" s="16">
        <f t="shared" si="5"/>
        <v>0</v>
      </c>
      <c r="R14" s="12">
        <v>300</v>
      </c>
    </row>
    <row r="15" spans="1:18" x14ac:dyDescent="0.25">
      <c r="B15" s="20" t="s">
        <v>156</v>
      </c>
      <c r="C15" s="21">
        <v>0</v>
      </c>
      <c r="D15" s="21">
        <f>4500-1720</f>
        <v>2780</v>
      </c>
      <c r="E15" s="21">
        <v>4500</v>
      </c>
      <c r="F15" s="21">
        <v>-1720</v>
      </c>
      <c r="G15" s="21">
        <f t="shared" si="1"/>
        <v>2780</v>
      </c>
      <c r="H15" s="71">
        <f>D15-G15</f>
        <v>0</v>
      </c>
      <c r="I15" s="21">
        <f>G15-D15</f>
        <v>0</v>
      </c>
      <c r="K15" s="19" t="s">
        <v>25</v>
      </c>
      <c r="L15" s="16">
        <v>300</v>
      </c>
      <c r="M15" s="16">
        <v>0</v>
      </c>
      <c r="N15" s="16">
        <f>[1]Sheet1!$F$150+[1]Sheet1!$F$137+[1]Sheet1!$F$131</f>
        <v>129.75</v>
      </c>
      <c r="O15" s="16">
        <f t="shared" si="3"/>
        <v>129.75</v>
      </c>
      <c r="P15" s="32">
        <f t="shared" si="4"/>
        <v>170.25</v>
      </c>
      <c r="Q15" s="16">
        <f t="shared" si="5"/>
        <v>-170.25</v>
      </c>
    </row>
    <row r="16" spans="1:18" ht="13.8" thickBot="1" x14ac:dyDescent="0.3">
      <c r="A16" s="14"/>
      <c r="B16" s="67" t="s">
        <v>86</v>
      </c>
      <c r="C16" s="18">
        <f t="shared" ref="C16:I16" si="6">SUM(C5:C15)</f>
        <v>59012</v>
      </c>
      <c r="D16" s="18">
        <f t="shared" si="6"/>
        <v>52599.75</v>
      </c>
      <c r="E16" s="18">
        <f t="shared" si="6"/>
        <v>47404.78</v>
      </c>
      <c r="F16" s="18">
        <f t="shared" si="6"/>
        <v>989.19999999999982</v>
      </c>
      <c r="G16" s="18">
        <f t="shared" si="6"/>
        <v>48393.979999999996</v>
      </c>
      <c r="H16" s="72">
        <f t="shared" si="6"/>
        <v>500</v>
      </c>
      <c r="I16" s="18">
        <f t="shared" si="6"/>
        <v>-4205.7700000000004</v>
      </c>
      <c r="K16" s="31" t="s">
        <v>26</v>
      </c>
      <c r="L16" s="32"/>
      <c r="M16" s="32"/>
      <c r="N16" s="78"/>
      <c r="O16" s="32"/>
      <c r="P16" s="32"/>
      <c r="Q16" s="32"/>
    </row>
    <row r="17" spans="1:18" ht="13.8" thickTop="1" x14ac:dyDescent="0.25">
      <c r="C17" s="15"/>
      <c r="D17" s="15"/>
      <c r="E17" s="15"/>
      <c r="F17" s="15"/>
      <c r="G17" s="86"/>
      <c r="H17" s="73"/>
      <c r="I17" s="15"/>
      <c r="K17" s="27" t="s">
        <v>111</v>
      </c>
      <c r="L17" s="16">
        <v>5500</v>
      </c>
      <c r="M17" s="16">
        <f>1405.87+499.32</f>
        <v>1905.1899999999998</v>
      </c>
      <c r="N17" s="16">
        <f>[1]Sheet1!$F$145+[1]Sheet1!$F$148</f>
        <v>1423.05</v>
      </c>
      <c r="O17" s="16">
        <f t="shared" si="3"/>
        <v>3328.24</v>
      </c>
      <c r="P17" s="32">
        <f t="shared" si="4"/>
        <v>2171.7600000000002</v>
      </c>
      <c r="Q17" s="16">
        <f t="shared" si="5"/>
        <v>-2171.7600000000002</v>
      </c>
    </row>
    <row r="18" spans="1:18" x14ac:dyDescent="0.25">
      <c r="B18" s="17" t="s">
        <v>63</v>
      </c>
      <c r="C18" s="15"/>
      <c r="D18" s="15"/>
      <c r="E18" s="15"/>
      <c r="F18" s="15"/>
      <c r="G18" s="15"/>
      <c r="H18" s="73"/>
      <c r="I18" s="28"/>
      <c r="K18" s="19" t="s">
        <v>28</v>
      </c>
      <c r="L18" s="16">
        <v>1500</v>
      </c>
      <c r="M18" s="16">
        <v>0</v>
      </c>
      <c r="N18" s="16">
        <f>[1]Sheet1!$F$151+[1]Sheet1!$F$146+[1]Sheet1!$F$144</f>
        <v>1159.24</v>
      </c>
      <c r="O18" s="16">
        <f t="shared" si="3"/>
        <v>1159.24</v>
      </c>
      <c r="P18" s="32">
        <f t="shared" si="4"/>
        <v>340.76</v>
      </c>
      <c r="Q18" s="16">
        <f t="shared" si="5"/>
        <v>-340.76</v>
      </c>
    </row>
    <row r="19" spans="1:18" x14ac:dyDescent="0.25">
      <c r="B19" s="22" t="s">
        <v>0</v>
      </c>
      <c r="C19" s="23">
        <v>5071</v>
      </c>
      <c r="D19" s="23">
        <f>C19</f>
        <v>5071</v>
      </c>
      <c r="E19" s="23">
        <v>5416.94</v>
      </c>
      <c r="F19" s="23">
        <v>0</v>
      </c>
      <c r="G19" s="23">
        <f>F19+E19</f>
        <v>5416.94</v>
      </c>
      <c r="H19" s="30">
        <v>0</v>
      </c>
      <c r="I19" s="23">
        <f>G19-C19</f>
        <v>345.9399999999996</v>
      </c>
      <c r="K19" s="19" t="s">
        <v>29</v>
      </c>
      <c r="L19" s="16">
        <v>0</v>
      </c>
      <c r="M19" s="16">
        <v>0</v>
      </c>
      <c r="N19" s="75">
        <v>0</v>
      </c>
      <c r="O19" s="16">
        <f t="shared" si="3"/>
        <v>0</v>
      </c>
      <c r="P19" s="32">
        <f t="shared" si="4"/>
        <v>0</v>
      </c>
      <c r="Q19" s="16">
        <f t="shared" si="5"/>
        <v>0</v>
      </c>
      <c r="R19" s="12">
        <v>1000</v>
      </c>
    </row>
    <row r="20" spans="1:18" x14ac:dyDescent="0.25">
      <c r="B20" s="19" t="s">
        <v>83</v>
      </c>
      <c r="C20" s="16">
        <v>500</v>
      </c>
      <c r="D20" s="16">
        <v>700</v>
      </c>
      <c r="E20" s="16">
        <v>0</v>
      </c>
      <c r="F20" s="16">
        <v>0</v>
      </c>
      <c r="G20" s="16">
        <f t="shared" ref="G20:G26" si="7">F20+E20</f>
        <v>0</v>
      </c>
      <c r="H20" s="32">
        <v>0</v>
      </c>
      <c r="I20" s="16">
        <f t="shared" ref="I20:I25" si="8">G20-C20</f>
        <v>-500</v>
      </c>
      <c r="K20" s="31" t="s">
        <v>30</v>
      </c>
      <c r="L20" s="32"/>
      <c r="M20" s="32"/>
      <c r="N20" s="78"/>
      <c r="O20" s="32"/>
      <c r="P20" s="32"/>
      <c r="Q20" s="32"/>
    </row>
    <row r="21" spans="1:18" x14ac:dyDescent="0.25">
      <c r="B21" s="19" t="s">
        <v>82</v>
      </c>
      <c r="C21" s="16">
        <v>1000</v>
      </c>
      <c r="D21" s="16">
        <f>C21</f>
        <v>1000</v>
      </c>
      <c r="E21" s="16">
        <v>1113.53</v>
      </c>
      <c r="F21" s="16">
        <v>0</v>
      </c>
      <c r="G21" s="16">
        <f t="shared" si="7"/>
        <v>1113.53</v>
      </c>
      <c r="H21" s="32">
        <v>0</v>
      </c>
      <c r="I21" s="16">
        <f t="shared" si="8"/>
        <v>113.52999999999997</v>
      </c>
      <c r="K21" s="19" t="s">
        <v>66</v>
      </c>
      <c r="L21" s="16">
        <v>4300</v>
      </c>
      <c r="M21" s="16">
        <f>1517+870+731</f>
        <v>3118</v>
      </c>
      <c r="N21" s="16">
        <f>[1]Sheet1!$F$143</f>
        <v>1612</v>
      </c>
      <c r="O21" s="16">
        <f t="shared" si="3"/>
        <v>4730</v>
      </c>
      <c r="P21" s="32">
        <f t="shared" si="4"/>
        <v>-430</v>
      </c>
      <c r="Q21" s="16">
        <f t="shared" si="5"/>
        <v>430</v>
      </c>
    </row>
    <row r="22" spans="1:18" x14ac:dyDescent="0.25">
      <c r="B22" s="19" t="s">
        <v>52</v>
      </c>
      <c r="C22" s="16">
        <v>700</v>
      </c>
      <c r="D22" s="16">
        <f>C22</f>
        <v>700</v>
      </c>
      <c r="E22" s="16">
        <f>139.65+85.69</f>
        <v>225.34</v>
      </c>
      <c r="F22" s="75">
        <v>0</v>
      </c>
      <c r="G22" s="16">
        <f t="shared" si="7"/>
        <v>225.34</v>
      </c>
      <c r="H22" s="32">
        <v>0</v>
      </c>
      <c r="I22" s="16">
        <f t="shared" si="8"/>
        <v>-474.65999999999997</v>
      </c>
      <c r="K22" s="19" t="s">
        <v>84</v>
      </c>
      <c r="L22" s="16">
        <v>600</v>
      </c>
      <c r="M22" s="16">
        <v>294.56</v>
      </c>
      <c r="N22" s="75">
        <v>0</v>
      </c>
      <c r="O22" s="16">
        <f t="shared" si="3"/>
        <v>294.56</v>
      </c>
      <c r="P22" s="32">
        <f t="shared" si="4"/>
        <v>305.44</v>
      </c>
      <c r="Q22" s="16">
        <f t="shared" si="5"/>
        <v>-305.44</v>
      </c>
    </row>
    <row r="23" spans="1:18" x14ac:dyDescent="0.25">
      <c r="A23" s="13"/>
      <c r="B23" s="19" t="s">
        <v>3</v>
      </c>
      <c r="C23" s="16">
        <v>4000</v>
      </c>
      <c r="D23" s="16">
        <v>0</v>
      </c>
      <c r="E23" s="16">
        <v>0</v>
      </c>
      <c r="F23" s="16">
        <v>0</v>
      </c>
      <c r="G23" s="16">
        <f t="shared" si="7"/>
        <v>0</v>
      </c>
      <c r="H23" s="32">
        <f>D23-G23</f>
        <v>0</v>
      </c>
      <c r="I23" s="16">
        <f t="shared" si="8"/>
        <v>-4000</v>
      </c>
      <c r="J23" s="13"/>
      <c r="K23" s="19" t="s">
        <v>51</v>
      </c>
      <c r="L23" s="16">
        <v>200</v>
      </c>
      <c r="M23" s="16">
        <v>0</v>
      </c>
      <c r="N23" s="75">
        <v>0</v>
      </c>
      <c r="O23" s="16">
        <f t="shared" si="3"/>
        <v>0</v>
      </c>
      <c r="P23" s="32">
        <f t="shared" si="4"/>
        <v>200</v>
      </c>
      <c r="Q23" s="16">
        <f t="shared" si="5"/>
        <v>-200</v>
      </c>
    </row>
    <row r="24" spans="1:18" x14ac:dyDescent="0.25">
      <c r="B24" s="19" t="s">
        <v>9</v>
      </c>
      <c r="C24" s="16">
        <v>10000</v>
      </c>
      <c r="D24" s="16">
        <f>C24</f>
        <v>10000</v>
      </c>
      <c r="E24" s="16">
        <f>4545.58+1204.8+368.33</f>
        <v>6118.71</v>
      </c>
      <c r="F24" s="16">
        <f>[1]Sheet1!$F$156+[1]Sheet1!$F$155+[1]Sheet1!$F$154+[1]Sheet1!$F$125+[1]Sheet1!$F$132+[1]Sheet1!$F$138</f>
        <v>2771.88</v>
      </c>
      <c r="G24" s="16">
        <f t="shared" si="7"/>
        <v>8890.59</v>
      </c>
      <c r="H24" s="32">
        <v>0</v>
      </c>
      <c r="I24" s="16">
        <f t="shared" si="8"/>
        <v>-1109.4099999999999</v>
      </c>
      <c r="K24" s="19" t="s">
        <v>31</v>
      </c>
      <c r="L24" s="16">
        <v>1100</v>
      </c>
      <c r="M24" s="16">
        <v>779.04</v>
      </c>
      <c r="N24" s="16">
        <f>[1]Sheet1!$F$135-200</f>
        <v>320.96000000000004</v>
      </c>
      <c r="O24" s="16">
        <f t="shared" si="3"/>
        <v>1100</v>
      </c>
      <c r="P24" s="32">
        <f t="shared" si="4"/>
        <v>0</v>
      </c>
      <c r="Q24" s="16">
        <f t="shared" si="5"/>
        <v>0</v>
      </c>
    </row>
    <row r="25" spans="1:18" x14ac:dyDescent="0.25">
      <c r="A25" s="14"/>
      <c r="B25" s="19" t="s">
        <v>8</v>
      </c>
      <c r="C25" s="16">
        <v>8000</v>
      </c>
      <c r="D25" s="16">
        <f>C25</f>
        <v>8000</v>
      </c>
      <c r="E25" s="16">
        <f>5648.93+3044.28</f>
        <v>8693.2100000000009</v>
      </c>
      <c r="F25" s="75">
        <v>0</v>
      </c>
      <c r="G25" s="16">
        <f t="shared" si="7"/>
        <v>8693.2100000000009</v>
      </c>
      <c r="H25" s="32">
        <v>0</v>
      </c>
      <c r="I25" s="16">
        <f t="shared" si="8"/>
        <v>693.21000000000095</v>
      </c>
      <c r="K25" s="19" t="s">
        <v>32</v>
      </c>
      <c r="L25" s="16">
        <v>500</v>
      </c>
      <c r="M25" s="16">
        <v>0</v>
      </c>
      <c r="N25" s="16">
        <f>[1]Sheet1!$F$152</f>
        <v>499.46</v>
      </c>
      <c r="O25" s="16">
        <f t="shared" si="3"/>
        <v>499.46</v>
      </c>
      <c r="P25" s="32">
        <f t="shared" si="4"/>
        <v>0.54000000000002046</v>
      </c>
      <c r="Q25" s="16">
        <f t="shared" si="5"/>
        <v>-0.54000000000002046</v>
      </c>
    </row>
    <row r="26" spans="1:18" x14ac:dyDescent="0.25">
      <c r="B26" s="20" t="s">
        <v>156</v>
      </c>
      <c r="C26" s="21">
        <v>0</v>
      </c>
      <c r="D26" s="21">
        <v>2779.97</v>
      </c>
      <c r="E26" s="21">
        <f>2496+283.97</f>
        <v>2779.9700000000003</v>
      </c>
      <c r="F26" s="77">
        <v>0</v>
      </c>
      <c r="G26" s="21">
        <f t="shared" si="7"/>
        <v>2779.9700000000003</v>
      </c>
      <c r="H26" s="71">
        <f>D26-G26</f>
        <v>0</v>
      </c>
      <c r="I26" s="21">
        <f>G26-C26</f>
        <v>2779.9700000000003</v>
      </c>
      <c r="K26" s="19" t="s">
        <v>33</v>
      </c>
      <c r="L26" s="16">
        <v>1000</v>
      </c>
      <c r="M26" s="16">
        <v>0</v>
      </c>
      <c r="N26" s="75">
        <v>0</v>
      </c>
      <c r="O26" s="16">
        <f t="shared" si="3"/>
        <v>0</v>
      </c>
      <c r="P26" s="32">
        <f t="shared" si="4"/>
        <v>1000</v>
      </c>
      <c r="Q26" s="16">
        <f t="shared" si="5"/>
        <v>-1000</v>
      </c>
    </row>
    <row r="27" spans="1:18" ht="13.8" thickBot="1" x14ac:dyDescent="0.3">
      <c r="B27" s="67" t="s">
        <v>55</v>
      </c>
      <c r="C27" s="18">
        <f>SUM(C19:C26)</f>
        <v>29271</v>
      </c>
      <c r="D27" s="18">
        <f t="shared" ref="D27:I27" si="9">SUM(D19:D26)</f>
        <v>28250.97</v>
      </c>
      <c r="E27" s="18">
        <f t="shared" si="9"/>
        <v>24347.700000000004</v>
      </c>
      <c r="F27" s="18">
        <f t="shared" si="9"/>
        <v>2771.88</v>
      </c>
      <c r="G27" s="18">
        <f t="shared" si="9"/>
        <v>27119.58</v>
      </c>
      <c r="H27" s="72">
        <f t="shared" si="9"/>
        <v>0</v>
      </c>
      <c r="I27" s="18">
        <f t="shared" si="9"/>
        <v>-2151.4199999999992</v>
      </c>
      <c r="K27" s="31" t="s">
        <v>34</v>
      </c>
      <c r="L27" s="32"/>
      <c r="M27" s="32"/>
      <c r="N27" s="78"/>
      <c r="O27" s="32"/>
      <c r="P27" s="32"/>
      <c r="Q27" s="32"/>
    </row>
    <row r="28" spans="1:18" ht="13.8" thickTop="1" x14ac:dyDescent="0.25">
      <c r="A28" s="13"/>
      <c r="C28" s="16"/>
      <c r="D28" s="16"/>
      <c r="E28" s="16"/>
      <c r="F28" s="16"/>
      <c r="G28" s="63"/>
      <c r="H28" s="32"/>
      <c r="I28" s="15"/>
      <c r="K28" s="19" t="s">
        <v>116</v>
      </c>
      <c r="L28" s="16">
        <v>86</v>
      </c>
      <c r="M28" s="16">
        <v>0</v>
      </c>
      <c r="N28" s="75">
        <v>0</v>
      </c>
      <c r="O28" s="16">
        <f t="shared" si="3"/>
        <v>0</v>
      </c>
      <c r="P28" s="32">
        <f t="shared" si="4"/>
        <v>86</v>
      </c>
      <c r="Q28" s="16">
        <f t="shared" si="5"/>
        <v>-86</v>
      </c>
    </row>
    <row r="29" spans="1:18" x14ac:dyDescent="0.25">
      <c r="A29" s="14"/>
      <c r="B29" s="14" t="s">
        <v>145</v>
      </c>
      <c r="C29" s="28"/>
      <c r="D29" s="28"/>
      <c r="E29" s="28"/>
      <c r="F29" s="28"/>
      <c r="G29" s="28"/>
      <c r="H29" s="70"/>
      <c r="I29" s="28"/>
      <c r="K29" s="19" t="s">
        <v>117</v>
      </c>
      <c r="L29" s="16">
        <v>250</v>
      </c>
      <c r="M29" s="16">
        <v>63</v>
      </c>
      <c r="N29" s="75">
        <v>0</v>
      </c>
      <c r="O29" s="16">
        <f t="shared" si="3"/>
        <v>63</v>
      </c>
      <c r="P29" s="32">
        <f t="shared" si="4"/>
        <v>187</v>
      </c>
      <c r="Q29" s="16">
        <f t="shared" si="5"/>
        <v>-187</v>
      </c>
    </row>
    <row r="30" spans="1:18" x14ac:dyDescent="0.25">
      <c r="B30" s="22" t="s">
        <v>0</v>
      </c>
      <c r="C30" s="23">
        <f t="shared" ref="C30:D32" si="10">C5-C19</f>
        <v>5541</v>
      </c>
      <c r="D30" s="23">
        <f t="shared" si="10"/>
        <v>5541</v>
      </c>
      <c r="E30" s="23"/>
      <c r="F30" s="23"/>
      <c r="G30" s="23">
        <f t="shared" ref="G30:H32" si="11">G5-G19</f>
        <v>4758.3100000000004</v>
      </c>
      <c r="H30" s="30">
        <f t="shared" si="11"/>
        <v>0</v>
      </c>
      <c r="I30" s="23"/>
      <c r="K30" s="19" t="s">
        <v>133</v>
      </c>
      <c r="L30" s="16">
        <f>'Cash Position as of 31Dec13'!G24</f>
        <v>460.9</v>
      </c>
      <c r="M30" s="16">
        <v>460.9</v>
      </c>
      <c r="N30" s="75">
        <v>0</v>
      </c>
      <c r="O30" s="16">
        <f t="shared" si="3"/>
        <v>460.9</v>
      </c>
      <c r="P30" s="32">
        <f t="shared" si="4"/>
        <v>0</v>
      </c>
      <c r="Q30" s="16">
        <f t="shared" si="5"/>
        <v>0</v>
      </c>
    </row>
    <row r="31" spans="1:18" x14ac:dyDescent="0.25">
      <c r="B31" s="19" t="s">
        <v>2</v>
      </c>
      <c r="C31" s="16">
        <f t="shared" si="10"/>
        <v>1000</v>
      </c>
      <c r="D31" s="16">
        <f t="shared" si="10"/>
        <v>800</v>
      </c>
      <c r="E31" s="16"/>
      <c r="F31" s="16"/>
      <c r="G31" s="16">
        <f t="shared" si="11"/>
        <v>1090.33</v>
      </c>
      <c r="H31" s="32">
        <f t="shared" si="11"/>
        <v>0</v>
      </c>
      <c r="I31" s="16"/>
      <c r="K31" s="27" t="s">
        <v>89</v>
      </c>
      <c r="L31" s="16">
        <v>0</v>
      </c>
      <c r="M31" s="16">
        <v>0</v>
      </c>
      <c r="N31" s="75">
        <v>0</v>
      </c>
      <c r="O31" s="16">
        <f t="shared" si="3"/>
        <v>0</v>
      </c>
      <c r="P31" s="32">
        <f t="shared" si="4"/>
        <v>0</v>
      </c>
      <c r="Q31" s="16">
        <f t="shared" si="5"/>
        <v>0</v>
      </c>
      <c r="R31" s="12">
        <v>800</v>
      </c>
    </row>
    <row r="32" spans="1:18" x14ac:dyDescent="0.25">
      <c r="B32" s="19" t="s">
        <v>82</v>
      </c>
      <c r="C32" s="16">
        <f t="shared" si="10"/>
        <v>4000</v>
      </c>
      <c r="D32" s="16">
        <f t="shared" si="10"/>
        <v>4000</v>
      </c>
      <c r="E32" s="16"/>
      <c r="F32" s="16"/>
      <c r="G32" s="16">
        <f t="shared" si="11"/>
        <v>3840.87</v>
      </c>
      <c r="H32" s="32">
        <f t="shared" si="11"/>
        <v>0</v>
      </c>
      <c r="I32" s="16"/>
      <c r="K32" s="27" t="s">
        <v>153</v>
      </c>
      <c r="L32" s="16">
        <v>2400</v>
      </c>
      <c r="M32" s="16">
        <v>0</v>
      </c>
      <c r="N32" s="75">
        <v>0</v>
      </c>
      <c r="O32" s="16">
        <f t="shared" si="3"/>
        <v>0</v>
      </c>
      <c r="P32" s="32">
        <f t="shared" si="4"/>
        <v>2400</v>
      </c>
      <c r="Q32" s="16">
        <f t="shared" si="5"/>
        <v>-2400</v>
      </c>
      <c r="R32" s="19">
        <v>500</v>
      </c>
    </row>
    <row r="33" spans="1:18" x14ac:dyDescent="0.25">
      <c r="B33" s="19" t="s">
        <v>144</v>
      </c>
      <c r="C33" s="16">
        <f>C8</f>
        <v>0</v>
      </c>
      <c r="D33" s="16">
        <f>D8</f>
        <v>1032</v>
      </c>
      <c r="E33" s="16"/>
      <c r="F33" s="16"/>
      <c r="G33" s="16">
        <f>G8</f>
        <v>1032.25</v>
      </c>
      <c r="H33" s="32">
        <f>H8</f>
        <v>0</v>
      </c>
      <c r="I33" s="16"/>
      <c r="K33" s="31" t="s">
        <v>137</v>
      </c>
      <c r="L33" s="32"/>
      <c r="M33" s="32"/>
      <c r="N33" s="78"/>
      <c r="O33" s="32"/>
      <c r="P33" s="32"/>
      <c r="Q33" s="32"/>
      <c r="R33" s="19"/>
    </row>
    <row r="34" spans="1:18" x14ac:dyDescent="0.25">
      <c r="B34" s="19" t="s">
        <v>52</v>
      </c>
      <c r="C34" s="16">
        <f>C9-C22</f>
        <v>6000</v>
      </c>
      <c r="D34" s="16">
        <f>D9-D22</f>
        <v>7300</v>
      </c>
      <c r="E34" s="16"/>
      <c r="F34" s="16"/>
      <c r="G34" s="16">
        <f>G9-G22</f>
        <v>5242.96</v>
      </c>
      <c r="H34" s="32">
        <f>H9-H22</f>
        <v>0</v>
      </c>
      <c r="I34" s="16"/>
      <c r="K34" s="19" t="s">
        <v>65</v>
      </c>
      <c r="L34" s="16">
        <f>25000-3715.71-6000-10000-5000</f>
        <v>284.29000000000087</v>
      </c>
      <c r="M34" s="16">
        <v>0</v>
      </c>
      <c r="N34" s="75">
        <v>0</v>
      </c>
      <c r="O34" s="16">
        <f>SUM(M34:N34)</f>
        <v>0</v>
      </c>
      <c r="P34" s="32">
        <f>L34-O34</f>
        <v>284.29000000000087</v>
      </c>
      <c r="Q34" s="16">
        <f>O34-L34</f>
        <v>-284.29000000000087</v>
      </c>
      <c r="R34" s="19"/>
    </row>
    <row r="35" spans="1:18" x14ac:dyDescent="0.25">
      <c r="B35" s="19" t="s">
        <v>3</v>
      </c>
      <c r="C35" s="16">
        <f>C10-C23</f>
        <v>10000</v>
      </c>
      <c r="D35" s="16">
        <f>D10-D23</f>
        <v>2475.75</v>
      </c>
      <c r="E35" s="16"/>
      <c r="F35" s="16"/>
      <c r="G35" s="16">
        <f>G10-G23</f>
        <v>2475.75</v>
      </c>
      <c r="H35" s="32">
        <f>H10-H23</f>
        <v>0</v>
      </c>
      <c r="I35" s="16"/>
      <c r="K35" s="19" t="s">
        <v>69</v>
      </c>
      <c r="L35" s="16">
        <v>3000</v>
      </c>
      <c r="M35" s="16">
        <v>3000</v>
      </c>
      <c r="N35" s="75">
        <v>0</v>
      </c>
      <c r="O35" s="16">
        <f t="shared" ref="O35:O43" si="12">SUM(M35:N35)</f>
        <v>3000</v>
      </c>
      <c r="P35" s="32">
        <f t="shared" ref="P35:P43" si="13">L35-O35</f>
        <v>0</v>
      </c>
      <c r="Q35" s="16">
        <f t="shared" ref="Q35:Q43" si="14">O35-L35</f>
        <v>0</v>
      </c>
      <c r="R35" s="19"/>
    </row>
    <row r="36" spans="1:18" x14ac:dyDescent="0.25">
      <c r="B36" s="19" t="s">
        <v>4</v>
      </c>
      <c r="C36" s="16">
        <f>C11</f>
        <v>500</v>
      </c>
      <c r="D36" s="16">
        <f>D11</f>
        <v>500</v>
      </c>
      <c r="E36" s="16"/>
      <c r="F36" s="16"/>
      <c r="G36" s="16">
        <f>G11</f>
        <v>0</v>
      </c>
      <c r="H36" s="32">
        <f>H11</f>
        <v>500</v>
      </c>
      <c r="I36" s="16"/>
      <c r="K36" s="19" t="s">
        <v>71</v>
      </c>
      <c r="L36" s="16">
        <v>2000</v>
      </c>
      <c r="M36" s="16">
        <v>0</v>
      </c>
      <c r="N36" s="75">
        <v>0</v>
      </c>
      <c r="O36" s="16">
        <f t="shared" si="12"/>
        <v>0</v>
      </c>
      <c r="P36" s="32">
        <f t="shared" si="13"/>
        <v>2000</v>
      </c>
      <c r="Q36" s="16">
        <f t="shared" si="14"/>
        <v>-2000</v>
      </c>
      <c r="R36" s="19"/>
    </row>
    <row r="37" spans="1:18" x14ac:dyDescent="0.25">
      <c r="B37" s="19" t="s">
        <v>10</v>
      </c>
      <c r="C37" s="16">
        <f>C12</f>
        <v>1200</v>
      </c>
      <c r="D37" s="16">
        <f>D12</f>
        <v>1200</v>
      </c>
      <c r="E37" s="16"/>
      <c r="F37" s="16"/>
      <c r="G37" s="16">
        <f>G12</f>
        <v>913.3</v>
      </c>
      <c r="H37" s="32">
        <f>H12</f>
        <v>0</v>
      </c>
      <c r="I37" s="16"/>
      <c r="K37" s="19" t="s">
        <v>70</v>
      </c>
      <c r="L37" s="16">
        <v>600</v>
      </c>
      <c r="M37" s="16">
        <v>575</v>
      </c>
      <c r="N37" s="75">
        <v>0</v>
      </c>
      <c r="O37" s="16">
        <f t="shared" si="12"/>
        <v>575</v>
      </c>
      <c r="P37" s="32">
        <f t="shared" si="13"/>
        <v>25</v>
      </c>
      <c r="Q37" s="16">
        <f t="shared" si="14"/>
        <v>-25</v>
      </c>
      <c r="R37" s="19"/>
    </row>
    <row r="38" spans="1:18" x14ac:dyDescent="0.25">
      <c r="B38" s="19" t="s">
        <v>7</v>
      </c>
      <c r="C38" s="16">
        <f t="shared" ref="C38:D40" si="15">C13-C24</f>
        <v>1500</v>
      </c>
      <c r="D38" s="16">
        <f t="shared" si="15"/>
        <v>1500</v>
      </c>
      <c r="E38" s="16"/>
      <c r="F38" s="16"/>
      <c r="G38" s="16">
        <f t="shared" ref="G38:H40" si="16">G13-G24</f>
        <v>2122.7100000000009</v>
      </c>
      <c r="H38" s="32">
        <f t="shared" si="16"/>
        <v>0</v>
      </c>
      <c r="I38" s="16"/>
      <c r="K38" s="19" t="s">
        <v>72</v>
      </c>
      <c r="L38" s="16">
        <v>400</v>
      </c>
      <c r="M38" s="16">
        <v>0</v>
      </c>
      <c r="N38" s="75">
        <v>0</v>
      </c>
      <c r="O38" s="16">
        <f t="shared" si="12"/>
        <v>0</v>
      </c>
      <c r="P38" s="32">
        <f t="shared" si="13"/>
        <v>400</v>
      </c>
      <c r="Q38" s="16">
        <f t="shared" si="14"/>
        <v>-400</v>
      </c>
      <c r="R38" s="19"/>
    </row>
    <row r="39" spans="1:18" x14ac:dyDescent="0.25">
      <c r="B39" s="19" t="s">
        <v>8</v>
      </c>
      <c r="C39" s="16">
        <f t="shared" si="15"/>
        <v>0</v>
      </c>
      <c r="D39" s="16">
        <f t="shared" si="15"/>
        <v>0</v>
      </c>
      <c r="E39" s="16"/>
      <c r="F39" s="75"/>
      <c r="G39" s="16">
        <f t="shared" si="16"/>
        <v>-202.1100000000024</v>
      </c>
      <c r="H39" s="32">
        <f t="shared" si="16"/>
        <v>0</v>
      </c>
      <c r="I39" s="16"/>
      <c r="K39" s="19" t="s">
        <v>73</v>
      </c>
      <c r="L39" s="16">
        <v>0</v>
      </c>
      <c r="M39" s="16">
        <v>0</v>
      </c>
      <c r="N39" s="75">
        <v>0</v>
      </c>
      <c r="O39" s="16">
        <f t="shared" si="12"/>
        <v>0</v>
      </c>
      <c r="P39" s="32">
        <f t="shared" si="13"/>
        <v>0</v>
      </c>
      <c r="Q39" s="16">
        <f t="shared" si="14"/>
        <v>0</v>
      </c>
      <c r="R39" s="19">
        <v>500</v>
      </c>
    </row>
    <row r="40" spans="1:18" x14ac:dyDescent="0.25">
      <c r="B40" s="20" t="str">
        <f>B15</f>
        <v>Chess Club</v>
      </c>
      <c r="C40" s="21">
        <f t="shared" si="15"/>
        <v>0</v>
      </c>
      <c r="D40" s="21">
        <f t="shared" si="15"/>
        <v>3.0000000000200089E-2</v>
      </c>
      <c r="E40" s="21"/>
      <c r="F40" s="77"/>
      <c r="G40" s="21">
        <f t="shared" si="16"/>
        <v>2.9999999999745341E-2</v>
      </c>
      <c r="H40" s="71">
        <f t="shared" si="16"/>
        <v>0</v>
      </c>
      <c r="I40" s="21"/>
      <c r="K40" s="19" t="s">
        <v>118</v>
      </c>
      <c r="L40" s="16">
        <v>0</v>
      </c>
      <c r="M40" s="16">
        <v>0</v>
      </c>
      <c r="N40" s="75">
        <v>0</v>
      </c>
      <c r="O40" s="16">
        <f t="shared" si="12"/>
        <v>0</v>
      </c>
      <c r="P40" s="32">
        <f t="shared" si="13"/>
        <v>0</v>
      </c>
      <c r="Q40" s="16">
        <f t="shared" si="14"/>
        <v>0</v>
      </c>
      <c r="R40" s="19">
        <v>100</v>
      </c>
    </row>
    <row r="41" spans="1:18" ht="13.8" thickBot="1" x14ac:dyDescent="0.3">
      <c r="B41" s="67" t="s">
        <v>146</v>
      </c>
      <c r="C41" s="18">
        <f>SUM(C30:C40)</f>
        <v>29741</v>
      </c>
      <c r="D41" s="18">
        <f>SUM(D30:D40)</f>
        <v>24348.78</v>
      </c>
      <c r="E41" s="18"/>
      <c r="F41" s="18"/>
      <c r="G41" s="18">
        <f>SUM(G30:G40)</f>
        <v>21274.400000000001</v>
      </c>
      <c r="H41" s="72">
        <f>SUM(H30:H40)</f>
        <v>500</v>
      </c>
      <c r="I41" s="18"/>
      <c r="K41" s="19" t="s">
        <v>74</v>
      </c>
      <c r="L41" s="16">
        <v>500</v>
      </c>
      <c r="M41" s="16">
        <v>161.33000000000001</v>
      </c>
      <c r="N41" s="75">
        <v>0</v>
      </c>
      <c r="O41" s="16">
        <f t="shared" si="12"/>
        <v>161.33000000000001</v>
      </c>
      <c r="P41" s="32">
        <f t="shared" si="13"/>
        <v>338.66999999999996</v>
      </c>
      <c r="Q41" s="16">
        <f t="shared" si="14"/>
        <v>-338.66999999999996</v>
      </c>
      <c r="R41" s="19"/>
    </row>
    <row r="42" spans="1:18" ht="13.8" thickTop="1" x14ac:dyDescent="0.25">
      <c r="A42" s="19"/>
      <c r="B42" s="74"/>
      <c r="C42" s="57"/>
      <c r="D42" s="57"/>
      <c r="E42" s="57"/>
      <c r="F42" s="57"/>
      <c r="G42" s="57"/>
      <c r="H42" s="57"/>
      <c r="I42" s="57"/>
      <c r="J42" s="19"/>
      <c r="K42" s="19" t="s">
        <v>101</v>
      </c>
      <c r="L42" s="16">
        <v>1000</v>
      </c>
      <c r="M42" s="16">
        <f>303.46+160</f>
        <v>463.46</v>
      </c>
      <c r="N42" s="16">
        <f>[1]Sheet1!$F$139</f>
        <v>45.65</v>
      </c>
      <c r="O42" s="16">
        <f t="shared" si="12"/>
        <v>509.10999999999996</v>
      </c>
      <c r="P42" s="32">
        <f t="shared" si="13"/>
        <v>490.89000000000004</v>
      </c>
      <c r="Q42" s="16">
        <f t="shared" si="14"/>
        <v>-490.89000000000004</v>
      </c>
      <c r="R42" s="19"/>
    </row>
    <row r="43" spans="1:18" x14ac:dyDescent="0.25">
      <c r="A43" s="19"/>
      <c r="B43" s="17" t="s">
        <v>131</v>
      </c>
      <c r="C43" s="16"/>
      <c r="D43" s="16"/>
      <c r="E43" s="16"/>
      <c r="F43" s="16"/>
      <c r="G43" s="16"/>
      <c r="H43" s="16"/>
      <c r="I43" s="16"/>
      <c r="J43" s="19"/>
      <c r="K43" s="20" t="s">
        <v>1</v>
      </c>
      <c r="L43" s="21">
        <v>5000</v>
      </c>
      <c r="M43" s="21">
        <v>0</v>
      </c>
      <c r="N43" s="77">
        <v>0</v>
      </c>
      <c r="O43" s="21">
        <f t="shared" si="12"/>
        <v>0</v>
      </c>
      <c r="P43" s="71">
        <f t="shared" si="13"/>
        <v>5000</v>
      </c>
      <c r="Q43" s="21">
        <f t="shared" si="14"/>
        <v>-5000</v>
      </c>
      <c r="R43" s="19"/>
    </row>
    <row r="44" spans="1:18" ht="13.8" thickBot="1" x14ac:dyDescent="0.3">
      <c r="A44" s="19"/>
      <c r="B44" s="17" t="s">
        <v>132</v>
      </c>
      <c r="C44" s="16"/>
      <c r="D44" s="16"/>
      <c r="E44" s="16"/>
      <c r="F44" s="16"/>
      <c r="G44" s="16"/>
      <c r="H44" s="16"/>
      <c r="I44" s="16"/>
      <c r="J44" s="19"/>
      <c r="K44" s="68" t="s">
        <v>100</v>
      </c>
      <c r="L44" s="18">
        <f t="shared" ref="L44:Q44" si="17">SUM(L5:L43)</f>
        <v>43581.19</v>
      </c>
      <c r="M44" s="18">
        <f t="shared" si="17"/>
        <v>19085.150000000001</v>
      </c>
      <c r="N44" s="18">
        <f t="shared" si="17"/>
        <v>8261.1299999999992</v>
      </c>
      <c r="O44" s="18">
        <f t="shared" si="17"/>
        <v>27346.280000000002</v>
      </c>
      <c r="P44" s="72">
        <f t="shared" si="17"/>
        <v>16234.910000000002</v>
      </c>
      <c r="Q44" s="18">
        <f t="shared" si="17"/>
        <v>-16234.910000000002</v>
      </c>
      <c r="R44" s="19"/>
    </row>
    <row r="45" spans="1:18" ht="13.8" thickTop="1" x14ac:dyDescent="0.25">
      <c r="A45" s="19"/>
      <c r="B45" s="47"/>
      <c r="C45" s="57"/>
      <c r="D45" s="57"/>
      <c r="E45" s="57"/>
      <c r="F45" s="57"/>
      <c r="G45" s="57"/>
      <c r="H45" s="57"/>
      <c r="I45" s="57"/>
      <c r="J45" s="19"/>
      <c r="L45" s="15"/>
      <c r="N45" s="15"/>
      <c r="O45" s="15"/>
      <c r="P45" s="15"/>
      <c r="Q45" s="15"/>
    </row>
    <row r="46" spans="1:18" x14ac:dyDescent="0.25">
      <c r="B46" s="19"/>
      <c r="C46" s="19"/>
      <c r="D46" s="19"/>
      <c r="E46" s="19"/>
      <c r="F46" s="19"/>
      <c r="G46" s="19" t="s">
        <v>98</v>
      </c>
      <c r="H46" s="19"/>
      <c r="I46" s="19"/>
      <c r="K46" s="14"/>
      <c r="L46" s="16"/>
      <c r="N46" s="16"/>
      <c r="O46" s="16"/>
      <c r="P46" s="16"/>
      <c r="Q46" s="16"/>
    </row>
    <row r="47" spans="1:18" x14ac:dyDescent="0.25">
      <c r="G47" s="13"/>
      <c r="H47" s="13"/>
      <c r="K47" s="14"/>
      <c r="L47" s="16"/>
      <c r="M47" s="16"/>
      <c r="N47" s="16"/>
      <c r="O47" s="16"/>
      <c r="P47" s="16"/>
      <c r="Q47" s="16"/>
    </row>
    <row r="48" spans="1:18" x14ac:dyDescent="0.25">
      <c r="K48" s="74"/>
      <c r="L48" s="15"/>
      <c r="M48" s="16"/>
      <c r="N48" s="16"/>
      <c r="O48" s="16"/>
      <c r="P48" s="16"/>
      <c r="Q48" s="16"/>
    </row>
    <row r="49" spans="3:17" x14ac:dyDescent="0.25">
      <c r="C49" s="13"/>
      <c r="D49" s="13"/>
      <c r="E49" s="13"/>
      <c r="H49" s="13"/>
      <c r="K49" s="74"/>
      <c r="L49" s="57"/>
      <c r="M49" s="57"/>
      <c r="N49" s="57"/>
      <c r="O49" s="57"/>
      <c r="P49" s="57"/>
      <c r="Q49" s="57"/>
    </row>
    <row r="50" spans="3:17" x14ac:dyDescent="0.25">
      <c r="M50" s="19"/>
      <c r="N50" s="85"/>
      <c r="O50" s="19"/>
      <c r="P50" s="19"/>
      <c r="Q50" s="19"/>
    </row>
  </sheetData>
  <pageMargins left="0.75" right="0.75" top="1" bottom="1" header="0.5" footer="0.5"/>
  <pageSetup scale="58" orientation="landscape" horizontalDpi="2400" verticalDpi="24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opLeftCell="A7" workbookViewId="0">
      <selection activeCell="G16" sqref="G16"/>
    </sheetView>
  </sheetViews>
  <sheetFormatPr defaultColWidth="11.44140625" defaultRowHeight="13.2" x14ac:dyDescent="0.25"/>
  <cols>
    <col min="1" max="1" width="11.44140625" style="33"/>
    <col min="2" max="2" width="16.6640625" style="33" customWidth="1"/>
    <col min="3" max="3" width="1" style="33" customWidth="1"/>
    <col min="4" max="4" width="9.6640625" style="33" bestFit="1" customWidth="1"/>
    <col min="5" max="5" width="2.6640625" style="33" bestFit="1" customWidth="1"/>
    <col min="6" max="6" width="19.44140625" style="33" customWidth="1"/>
    <col min="7" max="7" width="11.5546875" style="33" customWidth="1"/>
    <col min="8" max="8" width="8.5546875" style="64" bestFit="1" customWidth="1"/>
    <col min="9" max="9" width="11.44140625" style="33"/>
    <col min="10" max="10" width="11.33203125" style="33" bestFit="1" customWidth="1"/>
    <col min="11" max="16384" width="11.44140625" style="33"/>
  </cols>
  <sheetData>
    <row r="1" spans="1:10" x14ac:dyDescent="0.25">
      <c r="A1" s="36" t="s">
        <v>53</v>
      </c>
      <c r="B1" s="36"/>
      <c r="C1" s="36"/>
      <c r="D1" s="36"/>
      <c r="E1" s="36"/>
      <c r="F1" s="36"/>
      <c r="G1" s="36"/>
    </row>
    <row r="2" spans="1:10" x14ac:dyDescent="0.25">
      <c r="A2" s="36" t="s">
        <v>115</v>
      </c>
      <c r="B2" s="36"/>
      <c r="C2" s="36"/>
      <c r="D2" s="36"/>
      <c r="E2" s="36"/>
      <c r="F2" s="36"/>
      <c r="G2" s="36"/>
    </row>
    <row r="4" spans="1:10" x14ac:dyDescent="0.25">
      <c r="B4" s="17" t="s">
        <v>61</v>
      </c>
      <c r="C4" s="17"/>
      <c r="D4" s="37">
        <v>41578</v>
      </c>
      <c r="E4" s="25" t="s">
        <v>54</v>
      </c>
      <c r="F4" s="37">
        <v>41639</v>
      </c>
    </row>
    <row r="6" spans="1:10" x14ac:dyDescent="0.25">
      <c r="B6" s="50" t="s">
        <v>121</v>
      </c>
      <c r="C6" s="50"/>
      <c r="D6" s="50"/>
      <c r="E6" s="50"/>
      <c r="F6" s="49"/>
      <c r="G6" s="49">
        <v>34482.639999999999</v>
      </c>
      <c r="H6" s="64" t="s">
        <v>68</v>
      </c>
      <c r="I6" s="38"/>
    </row>
    <row r="7" spans="1:10" x14ac:dyDescent="0.25">
      <c r="F7" s="38"/>
      <c r="G7" s="38"/>
      <c r="I7" s="38"/>
    </row>
    <row r="8" spans="1:10" x14ac:dyDescent="0.25">
      <c r="B8" s="17" t="s">
        <v>91</v>
      </c>
      <c r="F8" s="38"/>
      <c r="G8" s="38"/>
    </row>
    <row r="9" spans="1:10" x14ac:dyDescent="0.25">
      <c r="A9" s="17"/>
      <c r="B9" s="45" t="s">
        <v>82</v>
      </c>
      <c r="C9" s="45"/>
      <c r="D9" s="45"/>
      <c r="E9" s="45"/>
      <c r="F9" s="40"/>
      <c r="G9" s="40">
        <f>[1]Sheet1!$B$55+[1]Sheet1!$B$52+[1]Sheet1!$B$53</f>
        <v>4119.3999999999996</v>
      </c>
    </row>
    <row r="10" spans="1:10" x14ac:dyDescent="0.25">
      <c r="A10" s="17"/>
      <c r="B10" s="43" t="s">
        <v>79</v>
      </c>
      <c r="C10" s="43"/>
      <c r="D10" s="43"/>
      <c r="E10" s="43"/>
      <c r="F10" s="42"/>
      <c r="G10" s="42">
        <f>[1]Sheet1!$D$51+[1]Sheet1!$D$54</f>
        <v>139.80000000000001</v>
      </c>
    </row>
    <row r="11" spans="1:10" x14ac:dyDescent="0.25">
      <c r="A11" s="17"/>
      <c r="B11" s="44" t="s">
        <v>78</v>
      </c>
      <c r="C11" s="44"/>
      <c r="D11" s="44"/>
      <c r="E11" s="44"/>
      <c r="F11" s="39"/>
      <c r="G11" s="39">
        <f>[1]Sheet1!$D$50</f>
        <v>226.8</v>
      </c>
    </row>
    <row r="12" spans="1:10" x14ac:dyDescent="0.25">
      <c r="B12" s="50" t="s">
        <v>86</v>
      </c>
      <c r="C12" s="59"/>
      <c r="D12" s="59"/>
      <c r="E12" s="59"/>
      <c r="F12" s="58"/>
      <c r="G12" s="49">
        <f>SUM(G9:G11)</f>
        <v>4486</v>
      </c>
      <c r="H12" s="64" t="s">
        <v>57</v>
      </c>
      <c r="J12" s="38"/>
    </row>
    <row r="13" spans="1:10" x14ac:dyDescent="0.25">
      <c r="B13" s="17"/>
      <c r="F13" s="38"/>
      <c r="G13" s="46"/>
      <c r="J13" s="38"/>
    </row>
    <row r="14" spans="1:10" x14ac:dyDescent="0.25">
      <c r="B14" s="17" t="s">
        <v>90</v>
      </c>
      <c r="F14" s="38"/>
      <c r="G14" s="38"/>
      <c r="J14" s="38"/>
    </row>
    <row r="15" spans="1:10" x14ac:dyDescent="0.25">
      <c r="B15" s="51" t="s">
        <v>92</v>
      </c>
      <c r="C15" s="52"/>
      <c r="D15" s="52"/>
      <c r="E15" s="52"/>
      <c r="F15" s="53"/>
      <c r="G15" s="53"/>
      <c r="J15" s="38"/>
    </row>
    <row r="16" spans="1:10" x14ac:dyDescent="0.25">
      <c r="A16" s="17"/>
      <c r="B16" s="43" t="s">
        <v>76</v>
      </c>
      <c r="C16" s="43"/>
      <c r="D16" s="43"/>
      <c r="E16" s="43"/>
      <c r="F16" s="42"/>
      <c r="G16" s="42">
        <f>[1]Sheet1!$F$40+[1]Sheet1!$F$33+139.99</f>
        <v>1351.6200000000001</v>
      </c>
      <c r="J16" s="38"/>
    </row>
    <row r="17" spans="1:10" x14ac:dyDescent="0.25">
      <c r="A17" s="17"/>
      <c r="B17" s="43" t="s">
        <v>7</v>
      </c>
      <c r="C17" s="43"/>
      <c r="D17" s="43"/>
      <c r="E17" s="43"/>
      <c r="F17" s="42"/>
      <c r="G17" s="42">
        <f>393.75+[1]Sheet1!$F$49+[1]Sheet1!$F$48+[1]Sheet1!$F$37</f>
        <v>2519.77</v>
      </c>
      <c r="J17" s="38"/>
    </row>
    <row r="18" spans="1:10" x14ac:dyDescent="0.25">
      <c r="A18" s="17"/>
      <c r="B18" s="43" t="s">
        <v>0</v>
      </c>
      <c r="C18" s="43"/>
      <c r="D18" s="43"/>
      <c r="E18" s="43"/>
      <c r="F18" s="42"/>
      <c r="G18" s="42">
        <f>[1]Sheet1!$F$34+[1]Sheet1!$F$13</f>
        <v>538.99</v>
      </c>
      <c r="H18" s="66"/>
      <c r="J18" s="38"/>
    </row>
    <row r="19" spans="1:10" x14ac:dyDescent="0.25">
      <c r="A19" s="17"/>
      <c r="B19" s="43" t="s">
        <v>82</v>
      </c>
      <c r="C19" s="43"/>
      <c r="D19" s="43"/>
      <c r="E19" s="43"/>
      <c r="F19" s="42"/>
      <c r="G19" s="42">
        <f>[1]Sheet1!$F$45+[1]Sheet1!$F$31</f>
        <v>526</v>
      </c>
      <c r="J19" s="38"/>
    </row>
    <row r="20" spans="1:10" x14ac:dyDescent="0.25">
      <c r="A20" s="17"/>
      <c r="B20" s="54" t="s">
        <v>15</v>
      </c>
      <c r="C20" s="55"/>
      <c r="D20" s="55"/>
      <c r="E20" s="55"/>
      <c r="F20" s="56"/>
      <c r="G20" s="56"/>
    </row>
    <row r="21" spans="1:10" x14ac:dyDescent="0.25">
      <c r="A21" s="17"/>
      <c r="B21" s="43" t="s">
        <v>81</v>
      </c>
      <c r="C21" s="43"/>
      <c r="D21" s="43"/>
      <c r="E21" s="43"/>
      <c r="F21" s="42"/>
      <c r="G21" s="42">
        <f>[1]Sheet1!$F$41+[1]Sheet1!$F$38+[1]Sheet1!$F$35+[1]Sheet1!$F$27+[1]Sheet1!$F$28</f>
        <v>728</v>
      </c>
      <c r="J21" s="38"/>
    </row>
    <row r="22" spans="1:10" x14ac:dyDescent="0.25">
      <c r="A22" s="17"/>
      <c r="B22" s="43" t="s">
        <v>127</v>
      </c>
      <c r="C22" s="43"/>
      <c r="D22" s="43"/>
      <c r="E22" s="43"/>
      <c r="F22" s="42"/>
      <c r="G22" s="42">
        <f>[1]Sheet1!$F$44+[1]Sheet1!$F$36</f>
        <v>303.45999999999998</v>
      </c>
      <c r="J22" s="38"/>
    </row>
    <row r="23" spans="1:10" x14ac:dyDescent="0.25">
      <c r="A23" s="17"/>
      <c r="B23" s="43" t="s">
        <v>128</v>
      </c>
      <c r="C23" s="43"/>
      <c r="D23" s="43"/>
      <c r="E23" s="43"/>
      <c r="F23" s="42"/>
      <c r="G23" s="42">
        <f>[1]Sheet1!$F$30</f>
        <v>100</v>
      </c>
      <c r="J23" s="38"/>
    </row>
    <row r="24" spans="1:10" x14ac:dyDescent="0.25">
      <c r="A24" s="17"/>
      <c r="B24" s="43" t="s">
        <v>129</v>
      </c>
      <c r="C24" s="43"/>
      <c r="D24" s="43"/>
      <c r="E24" s="43"/>
      <c r="F24" s="42"/>
      <c r="G24" s="42">
        <f>[1]Sheet1!$F$42</f>
        <v>460.9</v>
      </c>
      <c r="J24" s="38"/>
    </row>
    <row r="25" spans="1:10" x14ac:dyDescent="0.25">
      <c r="A25" s="17"/>
      <c r="B25" s="43" t="s">
        <v>130</v>
      </c>
      <c r="C25" s="43"/>
      <c r="D25" s="43"/>
      <c r="E25" s="43"/>
      <c r="F25" s="42"/>
      <c r="G25" s="42">
        <f>[1]Sheet1!$F$46</f>
        <v>1405.87</v>
      </c>
      <c r="J25" s="38"/>
    </row>
    <row r="26" spans="1:10" x14ac:dyDescent="0.25">
      <c r="A26" s="17"/>
      <c r="B26" s="43" t="s">
        <v>22</v>
      </c>
      <c r="C26" s="43"/>
      <c r="D26" s="43"/>
      <c r="E26" s="43"/>
      <c r="F26" s="42"/>
      <c r="G26" s="42">
        <f>[1]Sheet1!$F$29+[1]Sheet1!$F$32</f>
        <v>131.32</v>
      </c>
      <c r="J26" s="38"/>
    </row>
    <row r="27" spans="1:10" x14ac:dyDescent="0.25">
      <c r="B27" s="33" t="s">
        <v>125</v>
      </c>
      <c r="G27" s="34">
        <f>[1]Sheet1!$F$39</f>
        <v>575</v>
      </c>
    </row>
    <row r="28" spans="1:10" x14ac:dyDescent="0.25">
      <c r="A28" s="17"/>
      <c r="B28" s="43" t="s">
        <v>126</v>
      </c>
      <c r="C28" s="43"/>
      <c r="D28" s="43"/>
      <c r="E28" s="43"/>
      <c r="F28" s="42"/>
      <c r="G28" s="42">
        <f>[1]Sheet1!$F$47</f>
        <v>3000</v>
      </c>
    </row>
    <row r="29" spans="1:10" x14ac:dyDescent="0.25">
      <c r="A29" s="17"/>
      <c r="B29" s="54" t="s">
        <v>67</v>
      </c>
      <c r="C29" s="55"/>
      <c r="D29" s="55"/>
      <c r="E29" s="55"/>
      <c r="F29" s="56"/>
      <c r="G29" s="56"/>
    </row>
    <row r="30" spans="1:10" x14ac:dyDescent="0.25">
      <c r="B30" s="43" t="s">
        <v>122</v>
      </c>
      <c r="C30" s="43"/>
      <c r="D30" s="43"/>
      <c r="E30" s="43"/>
      <c r="F30" s="42"/>
      <c r="G30" s="42">
        <f>-[1]Sheet1!$D$56</f>
        <v>-491.48</v>
      </c>
    </row>
    <row r="31" spans="1:10" x14ac:dyDescent="0.25">
      <c r="B31" s="54" t="s">
        <v>80</v>
      </c>
      <c r="C31" s="55"/>
      <c r="D31" s="55"/>
      <c r="E31" s="55"/>
      <c r="F31" s="56"/>
      <c r="G31" s="56"/>
    </row>
    <row r="32" spans="1:10" x14ac:dyDescent="0.25">
      <c r="B32" s="44" t="s">
        <v>102</v>
      </c>
      <c r="C32" s="44"/>
      <c r="D32" s="44"/>
      <c r="E32" s="44"/>
      <c r="F32" s="39"/>
      <c r="G32" s="39">
        <v>181</v>
      </c>
    </row>
    <row r="33" spans="1:10" x14ac:dyDescent="0.25">
      <c r="B33" s="50" t="s">
        <v>55</v>
      </c>
      <c r="C33" s="59"/>
      <c r="D33" s="59"/>
      <c r="E33" s="59"/>
      <c r="F33" s="58"/>
      <c r="G33" s="49">
        <f>SUM(G16:G32)</f>
        <v>11330.45</v>
      </c>
      <c r="H33" s="64" t="s">
        <v>58</v>
      </c>
    </row>
    <row r="34" spans="1:10" x14ac:dyDescent="0.25">
      <c r="F34" s="38"/>
      <c r="G34" s="38"/>
    </row>
    <row r="35" spans="1:10" x14ac:dyDescent="0.25">
      <c r="B35" s="50" t="s">
        <v>123</v>
      </c>
      <c r="C35" s="50"/>
      <c r="D35" s="50"/>
      <c r="E35" s="50"/>
      <c r="F35" s="49"/>
      <c r="G35" s="49">
        <f>G6+G12-G33</f>
        <v>27638.19</v>
      </c>
      <c r="H35" s="64" t="s">
        <v>62</v>
      </c>
    </row>
    <row r="36" spans="1:10" x14ac:dyDescent="0.25">
      <c r="F36" s="38"/>
      <c r="G36" s="38"/>
      <c r="I36" s="38"/>
      <c r="J36" s="38"/>
    </row>
    <row r="37" spans="1:10" x14ac:dyDescent="0.25">
      <c r="B37" s="17" t="s">
        <v>124</v>
      </c>
      <c r="G37" s="38">
        <v>27638.19</v>
      </c>
      <c r="H37" s="65"/>
    </row>
    <row r="38" spans="1:10" x14ac:dyDescent="0.25">
      <c r="B38" s="17" t="s">
        <v>106</v>
      </c>
      <c r="G38" s="42">
        <v>0</v>
      </c>
    </row>
    <row r="39" spans="1:10" x14ac:dyDescent="0.25">
      <c r="A39" s="17"/>
      <c r="B39" s="50" t="s">
        <v>109</v>
      </c>
      <c r="C39" s="50"/>
      <c r="D39" s="50"/>
      <c r="E39" s="50"/>
      <c r="F39" s="49"/>
      <c r="G39" s="49">
        <f>G37-G38</f>
        <v>27638.19</v>
      </c>
      <c r="H39" s="64" t="s">
        <v>59</v>
      </c>
    </row>
    <row r="40" spans="1:10" x14ac:dyDescent="0.25">
      <c r="F40" s="38"/>
      <c r="G40" s="38"/>
      <c r="I40" s="41"/>
      <c r="J40" s="41"/>
    </row>
    <row r="41" spans="1:10" x14ac:dyDescent="0.25">
      <c r="B41" s="50" t="s">
        <v>110</v>
      </c>
      <c r="C41" s="50"/>
      <c r="D41" s="50"/>
      <c r="E41" s="50"/>
      <c r="F41" s="49"/>
      <c r="G41" s="49" t="e">
        <f>#REF!</f>
        <v>#REF!</v>
      </c>
      <c r="H41" s="64" t="s">
        <v>60</v>
      </c>
      <c r="J41" s="41"/>
    </row>
    <row r="42" spans="1:10" x14ac:dyDescent="0.25">
      <c r="B42" s="47"/>
      <c r="C42" s="47"/>
      <c r="D42" s="47"/>
      <c r="E42" s="47"/>
      <c r="F42" s="46"/>
      <c r="G42" s="46"/>
      <c r="J42" s="41"/>
    </row>
    <row r="43" spans="1:10" x14ac:dyDescent="0.25">
      <c r="B43" s="50" t="s">
        <v>120</v>
      </c>
      <c r="C43" s="50"/>
      <c r="D43" s="50"/>
      <c r="E43" s="50"/>
      <c r="F43" s="49"/>
      <c r="G43" s="49" t="e">
        <f>-#REF!</f>
        <v>#REF!</v>
      </c>
      <c r="H43" s="64" t="s">
        <v>64</v>
      </c>
    </row>
    <row r="44" spans="1:10" x14ac:dyDescent="0.25">
      <c r="A44" s="17"/>
      <c r="F44" s="38"/>
      <c r="G44" s="38"/>
    </row>
    <row r="45" spans="1:10" ht="13.8" thickBot="1" x14ac:dyDescent="0.3">
      <c r="B45" s="24" t="s">
        <v>56</v>
      </c>
      <c r="C45" s="35"/>
      <c r="D45" s="35"/>
      <c r="E45" s="35"/>
      <c r="F45" s="60"/>
      <c r="G45" s="61" t="e">
        <f>G39+G41+G43</f>
        <v>#REF!</v>
      </c>
      <c r="H45" s="64" t="s">
        <v>138</v>
      </c>
    </row>
    <row r="46" spans="1:10" ht="13.8" thickTop="1" x14ac:dyDescent="0.25">
      <c r="I46" s="38"/>
    </row>
    <row r="47" spans="1:10" x14ac:dyDescent="0.25">
      <c r="I47" s="38"/>
    </row>
    <row r="59" spans="1:1" x14ac:dyDescent="0.25">
      <c r="A59" s="17"/>
    </row>
  </sheetData>
  <pageMargins left="0.75" right="0.75" top="1" bottom="1" header="0.5" footer="0.5"/>
  <pageSetup scale="87" orientation="portrait" horizontalDpi="2400" verticalDpi="2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64"/>
  <sheetViews>
    <sheetView topLeftCell="A13" zoomScaleNormal="100" workbookViewId="0">
      <selection activeCell="P21" sqref="P20:P21"/>
    </sheetView>
  </sheetViews>
  <sheetFormatPr defaultColWidth="8.88671875" defaultRowHeight="13.2" x14ac:dyDescent="0.25"/>
  <cols>
    <col min="1" max="1" width="26.88671875" bestFit="1" customWidth="1"/>
    <col min="2" max="2" width="26.88671875" customWidth="1"/>
    <col min="3" max="5" width="8.6640625" customWidth="1"/>
    <col min="6" max="6" width="8.33203125" bestFit="1" customWidth="1"/>
    <col min="7" max="7" width="8.6640625" bestFit="1" customWidth="1"/>
    <col min="8" max="8" width="8.33203125" hidden="1" customWidth="1"/>
    <col min="9" max="9" width="8.6640625" hidden="1" customWidth="1"/>
    <col min="10" max="10" width="8.33203125" hidden="1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6" t="s">
        <v>42</v>
      </c>
      <c r="B4" s="2"/>
      <c r="C4" s="9" t="s">
        <v>171</v>
      </c>
      <c r="D4" s="9" t="s">
        <v>170</v>
      </c>
      <c r="E4" s="9" t="s">
        <v>6</v>
      </c>
      <c r="F4" s="9" t="s">
        <v>5</v>
      </c>
      <c r="G4" s="9" t="s">
        <v>6</v>
      </c>
      <c r="H4" s="9" t="s">
        <v>39</v>
      </c>
      <c r="I4" s="9" t="s">
        <v>6</v>
      </c>
      <c r="J4" s="9" t="s">
        <v>40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2"/>
      <c r="B5" s="10" t="s">
        <v>187</v>
      </c>
      <c r="C5" s="91">
        <v>10000</v>
      </c>
      <c r="D5" s="91">
        <v>10175</v>
      </c>
      <c r="E5" s="4">
        <f>(D5-F5)/F5</f>
        <v>-0.17897200032276284</v>
      </c>
      <c r="F5" s="91">
        <v>12393</v>
      </c>
      <c r="G5" s="4">
        <f>(F5-H5)/H5</f>
        <v>-0.11567004424147281</v>
      </c>
      <c r="H5" s="3">
        <v>14014</v>
      </c>
      <c r="I5" s="4">
        <f>(H5-J5)/J5</f>
        <v>-0.12554598776987397</v>
      </c>
      <c r="J5" s="3">
        <v>16026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2"/>
      <c r="B6" s="10" t="s">
        <v>188</v>
      </c>
      <c r="C6" s="91">
        <v>12500</v>
      </c>
      <c r="D6" s="91">
        <v>1090</v>
      </c>
      <c r="E6" s="4">
        <f t="shared" ref="E6:G34" si="0">(D6-F6)/F6</f>
        <v>-0.82968750000000002</v>
      </c>
      <c r="F6" s="91">
        <v>6400</v>
      </c>
      <c r="G6" s="4">
        <f t="shared" si="0"/>
        <v>-0.36400675742820232</v>
      </c>
      <c r="H6" s="3">
        <v>10063</v>
      </c>
      <c r="I6" s="4">
        <f t="shared" ref="I6:I34" si="1">(H6-J6)/J6</f>
        <v>-0.28646387293483655</v>
      </c>
      <c r="J6" s="3">
        <v>14103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2"/>
      <c r="B7" s="10" t="s">
        <v>190</v>
      </c>
      <c r="C7" s="91">
        <v>0</v>
      </c>
      <c r="D7" s="91">
        <v>5468</v>
      </c>
      <c r="E7" s="4">
        <f t="shared" si="0"/>
        <v>-8.8666666666666671E-2</v>
      </c>
      <c r="F7" s="91">
        <v>6000</v>
      </c>
      <c r="G7" s="4">
        <f t="shared" si="0"/>
        <v>-7.0487993803253296E-2</v>
      </c>
      <c r="H7" s="3">
        <v>6455</v>
      </c>
      <c r="I7" s="4">
        <f t="shared" si="1"/>
        <v>-0.22200795468241533</v>
      </c>
      <c r="J7" s="3">
        <v>8297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2"/>
      <c r="B8" s="10" t="s">
        <v>189</v>
      </c>
      <c r="C8" s="91">
        <v>10000</v>
      </c>
      <c r="D8" s="91">
        <v>2476</v>
      </c>
      <c r="E8" s="4">
        <f t="shared" si="0"/>
        <v>-0.82314285714285718</v>
      </c>
      <c r="F8" s="91">
        <v>14000</v>
      </c>
      <c r="G8" s="4">
        <f t="shared" si="0"/>
        <v>-0.22048997772828507</v>
      </c>
      <c r="H8" s="3">
        <v>17960</v>
      </c>
      <c r="I8" s="4">
        <f t="shared" si="1"/>
        <v>0.23802302336802922</v>
      </c>
      <c r="J8" s="3">
        <v>14507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2"/>
      <c r="B9" s="2" t="s">
        <v>4</v>
      </c>
      <c r="C9" s="91">
        <v>500</v>
      </c>
      <c r="D9" s="91"/>
      <c r="E9" s="4">
        <f t="shared" si="0"/>
        <v>-1</v>
      </c>
      <c r="F9" s="91">
        <v>500</v>
      </c>
      <c r="G9" s="4">
        <f t="shared" si="0"/>
        <v>0</v>
      </c>
      <c r="H9" s="3">
        <v>500</v>
      </c>
      <c r="I9" s="4">
        <f t="shared" si="1"/>
        <v>0</v>
      </c>
      <c r="J9" s="3">
        <v>500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2"/>
      <c r="B10" s="10" t="s">
        <v>177</v>
      </c>
      <c r="C10" s="91">
        <v>1000</v>
      </c>
      <c r="D10" s="91"/>
      <c r="E10" s="4"/>
      <c r="F10" s="91"/>
      <c r="G10" s="4"/>
      <c r="H10" s="3"/>
      <c r="I10" s="4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2"/>
      <c r="B11" s="2" t="s">
        <v>10</v>
      </c>
      <c r="C11" s="91">
        <v>0</v>
      </c>
      <c r="D11" s="91">
        <v>913</v>
      </c>
      <c r="E11" s="4"/>
      <c r="F11" s="91">
        <v>1120</v>
      </c>
      <c r="G11" s="4"/>
      <c r="H11" s="3"/>
      <c r="I11" s="4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2"/>
      <c r="B12" s="2" t="s">
        <v>7</v>
      </c>
      <c r="C12" s="91">
        <v>11500</v>
      </c>
      <c r="D12" s="91">
        <v>11013</v>
      </c>
      <c r="E12" s="4">
        <f t="shared" si="0"/>
        <v>-4.2347826086956523E-2</v>
      </c>
      <c r="F12" s="91">
        <v>11500</v>
      </c>
      <c r="G12" s="4">
        <f t="shared" si="0"/>
        <v>9.3031420045638063E-3</v>
      </c>
      <c r="H12" s="3">
        <v>11394</v>
      </c>
      <c r="I12" s="4">
        <f t="shared" si="1"/>
        <v>-0.37584223500410846</v>
      </c>
      <c r="J12" s="3">
        <v>18255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2"/>
      <c r="B13" s="2" t="s">
        <v>8</v>
      </c>
      <c r="C13" s="91">
        <v>11500</v>
      </c>
      <c r="D13" s="91">
        <v>8491</v>
      </c>
      <c r="E13" s="4">
        <f t="shared" si="0"/>
        <v>-0.26165217391304346</v>
      </c>
      <c r="F13" s="91">
        <v>11500</v>
      </c>
      <c r="G13" s="4">
        <f t="shared" si="0"/>
        <v>-1.177279367534588E-2</v>
      </c>
      <c r="H13" s="3">
        <v>11637</v>
      </c>
      <c r="I13" s="4">
        <f>(H13-J13)/J13</f>
        <v>1.4058300599545173</v>
      </c>
      <c r="J13" s="3">
        <v>4837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2"/>
      <c r="B14" s="10" t="s">
        <v>82</v>
      </c>
      <c r="C14" s="91"/>
      <c r="D14" s="91">
        <v>4954</v>
      </c>
      <c r="E14" s="4"/>
      <c r="F14" s="91"/>
      <c r="G14" s="4"/>
      <c r="H14" s="3"/>
      <c r="I14" s="4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2"/>
      <c r="B15" s="10" t="s">
        <v>144</v>
      </c>
      <c r="C15" s="91"/>
      <c r="D15" s="91">
        <v>1032</v>
      </c>
      <c r="E15" s="4"/>
      <c r="F15" s="91"/>
      <c r="G15" s="4"/>
      <c r="H15" s="3"/>
      <c r="I15" s="4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2"/>
      <c r="B16" s="10" t="s">
        <v>156</v>
      </c>
      <c r="C16" s="91"/>
      <c r="D16" s="91">
        <v>2780</v>
      </c>
      <c r="E16" s="4"/>
      <c r="F16" s="91"/>
      <c r="G16" s="4"/>
      <c r="H16" s="3"/>
      <c r="I16" s="4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3.8" thickBot="1" x14ac:dyDescent="0.3">
      <c r="A17" s="6" t="s">
        <v>44</v>
      </c>
      <c r="B17" s="2"/>
      <c r="C17" s="90">
        <f>SUM(C5:C16)</f>
        <v>57000</v>
      </c>
      <c r="D17" s="90">
        <f>SUM(D5:D16)</f>
        <v>48392</v>
      </c>
      <c r="E17" s="4">
        <f t="shared" ref="E17" si="2">(D17-F17)/F17</f>
        <v>-0.23687571948969455</v>
      </c>
      <c r="F17" s="90">
        <f>SUM(F5:F13)</f>
        <v>63413</v>
      </c>
      <c r="G17" s="4">
        <f t="shared" si="0"/>
        <v>-0.11954514530080669</v>
      </c>
      <c r="H17" s="8">
        <f>SUM(H5:H13)</f>
        <v>72023</v>
      </c>
      <c r="I17" s="4">
        <f>(H17-J17)/J17</f>
        <v>-5.8830447566154853E-2</v>
      </c>
      <c r="J17" s="8">
        <f>SUM(J5:J13)</f>
        <v>76525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3.8" thickTop="1" x14ac:dyDescent="0.25">
      <c r="A18" s="2"/>
      <c r="B18" s="2"/>
      <c r="C18" s="91"/>
      <c r="D18" s="91"/>
      <c r="E18" s="2"/>
      <c r="F18" s="91"/>
      <c r="G18" s="4"/>
      <c r="H18" s="3"/>
      <c r="I18" s="4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6" t="s">
        <v>43</v>
      </c>
      <c r="B19" s="2"/>
      <c r="C19" s="91"/>
      <c r="D19" s="91"/>
      <c r="E19" s="2"/>
      <c r="F19" s="91"/>
      <c r="G19" s="4"/>
      <c r="H19" s="3"/>
      <c r="I19" s="4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2"/>
      <c r="B20" s="2" t="s">
        <v>0</v>
      </c>
      <c r="C20" s="91">
        <v>4750</v>
      </c>
      <c r="D20" s="91">
        <v>5417</v>
      </c>
      <c r="E20" s="4">
        <f t="shared" si="0"/>
        <v>0.19527802294792587</v>
      </c>
      <c r="F20" s="91">
        <v>4532</v>
      </c>
      <c r="G20" s="4">
        <f t="shared" si="0"/>
        <v>-5.4848800834202294E-2</v>
      </c>
      <c r="H20" s="3">
        <v>4795</v>
      </c>
      <c r="I20" s="4">
        <f t="shared" si="1"/>
        <v>4.5345541748419448E-2</v>
      </c>
      <c r="J20" s="3">
        <v>4587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2"/>
      <c r="B21" s="10" t="s">
        <v>41</v>
      </c>
      <c r="C21" s="91">
        <v>2400</v>
      </c>
      <c r="D21" s="91">
        <v>0</v>
      </c>
      <c r="E21" s="4">
        <f t="shared" si="0"/>
        <v>-1</v>
      </c>
      <c r="F21" s="91">
        <v>2400</v>
      </c>
      <c r="G21" s="4">
        <f t="shared" si="0"/>
        <v>-1.3563501849568433E-2</v>
      </c>
      <c r="H21" s="3">
        <v>2433</v>
      </c>
      <c r="I21" s="4">
        <f t="shared" si="1"/>
        <v>11.805263157894737</v>
      </c>
      <c r="J21" s="3">
        <v>190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2"/>
      <c r="B22" s="10" t="s">
        <v>52</v>
      </c>
      <c r="C22" s="91">
        <v>0</v>
      </c>
      <c r="D22" s="91">
        <v>225</v>
      </c>
      <c r="E22" s="4">
        <f t="shared" si="0"/>
        <v>-0.625</v>
      </c>
      <c r="F22" s="91">
        <v>600</v>
      </c>
      <c r="G22" s="4">
        <f t="shared" si="0"/>
        <v>0.55440414507772018</v>
      </c>
      <c r="H22" s="3">
        <v>386</v>
      </c>
      <c r="I22" s="4">
        <f t="shared" si="1"/>
        <v>-0.34129692832764508</v>
      </c>
      <c r="J22" s="3">
        <v>586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2"/>
      <c r="B23" s="2" t="s">
        <v>3</v>
      </c>
      <c r="C23" s="91">
        <v>4000</v>
      </c>
      <c r="D23" s="91">
        <v>0</v>
      </c>
      <c r="E23" s="4">
        <f t="shared" si="0"/>
        <v>-1</v>
      </c>
      <c r="F23" s="91">
        <v>4000</v>
      </c>
      <c r="G23" s="4">
        <f t="shared" si="0"/>
        <v>-7.2141034562746467E-2</v>
      </c>
      <c r="H23" s="3">
        <v>4311</v>
      </c>
      <c r="I23" s="4">
        <f t="shared" si="1"/>
        <v>-0.49543539325842695</v>
      </c>
      <c r="J23" s="3">
        <v>8544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2" t="s">
        <v>4</v>
      </c>
      <c r="C24" s="91"/>
      <c r="D24" s="91"/>
      <c r="E24" s="2"/>
      <c r="F24" s="91"/>
      <c r="G24" s="4"/>
      <c r="H24" s="3"/>
      <c r="I24" s="4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2"/>
      <c r="B25" s="2" t="s">
        <v>11</v>
      </c>
      <c r="C25" s="91"/>
      <c r="D25" s="91"/>
      <c r="E25" s="2"/>
      <c r="F25" s="91"/>
      <c r="G25" s="4"/>
      <c r="H25" s="3"/>
      <c r="I25" s="4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"/>
      <c r="B26" s="2" t="s">
        <v>9</v>
      </c>
      <c r="C26" s="91">
        <v>11500</v>
      </c>
      <c r="D26" s="91">
        <v>8891</v>
      </c>
      <c r="E26" s="4">
        <f t="shared" si="0"/>
        <v>-6.4105263157894735E-2</v>
      </c>
      <c r="F26" s="91">
        <v>9500</v>
      </c>
      <c r="G26" s="4">
        <f t="shared" si="0"/>
        <v>2.2154235678869079E-3</v>
      </c>
      <c r="H26" s="3">
        <v>9479</v>
      </c>
      <c r="I26" s="4">
        <f t="shared" si="1"/>
        <v>0.18724949899799601</v>
      </c>
      <c r="J26" s="3">
        <v>7984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2"/>
      <c r="B27" s="2" t="s">
        <v>8</v>
      </c>
      <c r="C27" s="91">
        <v>11500</v>
      </c>
      <c r="D27" s="91">
        <v>8683</v>
      </c>
      <c r="E27" s="4">
        <f t="shared" si="0"/>
        <v>-0.24495652173913043</v>
      </c>
      <c r="F27" s="91">
        <v>11500</v>
      </c>
      <c r="G27" s="4">
        <f t="shared" si="0"/>
        <v>1.063362334124264E-2</v>
      </c>
      <c r="H27" s="3">
        <v>11379</v>
      </c>
      <c r="I27" s="4">
        <f t="shared" si="1"/>
        <v>-0.29124883213952041</v>
      </c>
      <c r="J27" s="3">
        <v>16055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2"/>
      <c r="B28" s="10" t="s">
        <v>82</v>
      </c>
      <c r="C28" s="91"/>
      <c r="D28" s="91">
        <v>1114</v>
      </c>
      <c r="E28" s="4"/>
      <c r="F28" s="91"/>
      <c r="G28" s="4"/>
      <c r="H28" s="3"/>
      <c r="I28" s="4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2"/>
      <c r="B29" s="10" t="s">
        <v>156</v>
      </c>
      <c r="C29" s="91"/>
      <c r="D29" s="91">
        <v>2780</v>
      </c>
      <c r="E29" s="4"/>
      <c r="F29" s="91"/>
      <c r="G29" s="4"/>
      <c r="H29" s="3"/>
      <c r="I29" s="4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8" thickBot="1" x14ac:dyDescent="0.3">
      <c r="A30" s="6" t="s">
        <v>45</v>
      </c>
      <c r="B30" s="2"/>
      <c r="C30" s="90">
        <f>SUM(C20:C29)</f>
        <v>34150</v>
      </c>
      <c r="D30" s="90">
        <f>SUM(D20:D29)</f>
        <v>27110</v>
      </c>
      <c r="E30" s="4">
        <f t="shared" si="0"/>
        <v>-0.16666666666666666</v>
      </c>
      <c r="F30" s="90">
        <f>SUM(F20:F27)</f>
        <v>32532</v>
      </c>
      <c r="G30" s="4">
        <f t="shared" si="0"/>
        <v>-7.6564072842631855E-3</v>
      </c>
      <c r="H30" s="8">
        <f>SUM(H20:H27)</f>
        <v>32783</v>
      </c>
      <c r="I30" s="4">
        <f t="shared" si="1"/>
        <v>-0.1360617719917778</v>
      </c>
      <c r="J30" s="8">
        <f>SUM(J20:J27)</f>
        <v>37946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8" thickTop="1" x14ac:dyDescent="0.25">
      <c r="A31" s="2"/>
      <c r="B31" s="2"/>
      <c r="C31" s="91"/>
      <c r="D31" s="91"/>
      <c r="E31" s="4"/>
      <c r="F31" s="92"/>
      <c r="G31" s="4"/>
      <c r="H31" s="3"/>
      <c r="I31" s="4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0" t="s">
        <v>46</v>
      </c>
      <c r="B32" s="2"/>
      <c r="C32" s="92">
        <f>C17</f>
        <v>57000</v>
      </c>
      <c r="D32" s="92">
        <f>D17</f>
        <v>48392</v>
      </c>
      <c r="E32" s="4">
        <f t="shared" si="0"/>
        <v>-0.23687571948969455</v>
      </c>
      <c r="F32" s="92">
        <f>F17</f>
        <v>63413</v>
      </c>
      <c r="G32" s="4">
        <f t="shared" si="0"/>
        <v>-0.11954514530080669</v>
      </c>
      <c r="H32" s="5">
        <f>H17</f>
        <v>72023</v>
      </c>
      <c r="I32" s="4">
        <f t="shared" si="1"/>
        <v>-5.8830447566154853E-2</v>
      </c>
      <c r="J32" s="5">
        <f>J17</f>
        <v>76525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0" t="s">
        <v>47</v>
      </c>
      <c r="B33" s="2"/>
      <c r="C33" s="91">
        <f>C30</f>
        <v>34150</v>
      </c>
      <c r="D33" s="91">
        <f>D30</f>
        <v>27110</v>
      </c>
      <c r="E33" s="4">
        <f t="shared" si="0"/>
        <v>-0.16666666666666666</v>
      </c>
      <c r="F33" s="91">
        <f>F30</f>
        <v>32532</v>
      </c>
      <c r="G33" s="4">
        <f t="shared" si="0"/>
        <v>-7.6564072842631855E-3</v>
      </c>
      <c r="H33" s="3">
        <f>H30</f>
        <v>32783</v>
      </c>
      <c r="I33" s="4">
        <f t="shared" si="1"/>
        <v>-0.1360617719917778</v>
      </c>
      <c r="J33" s="3">
        <f>J30</f>
        <v>37946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8" thickBot="1" x14ac:dyDescent="0.3">
      <c r="A34" s="6" t="s">
        <v>13</v>
      </c>
      <c r="B34" s="2"/>
      <c r="C34" s="90">
        <f>C32-C33</f>
        <v>22850</v>
      </c>
      <c r="D34" s="90">
        <f>D32-D33</f>
        <v>21282</v>
      </c>
      <c r="E34" s="4">
        <f t="shared" si="0"/>
        <v>-0.31083837958615329</v>
      </c>
      <c r="F34" s="90">
        <f>F32-F33</f>
        <v>30881</v>
      </c>
      <c r="G34" s="4">
        <f t="shared" si="0"/>
        <v>-0.21302242609582059</v>
      </c>
      <c r="H34" s="8">
        <f>H32-H33</f>
        <v>39240</v>
      </c>
      <c r="I34" s="4">
        <f t="shared" si="1"/>
        <v>1.7133673760335935E-2</v>
      </c>
      <c r="J34" s="8">
        <f>J32-J33</f>
        <v>38579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8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</sheetData>
  <mergeCells count="1">
    <mergeCell ref="A2:J2"/>
  </mergeCells>
  <phoneticPr fontId="3" type="noConversion"/>
  <pageMargins left="0.25" right="0.25" top="0.75" bottom="0.75" header="0.3" footer="0.3"/>
  <pageSetup scale="94" orientation="portrait" horizontalDpi="4294967292" verticalDpi="4294967292" r:id="rId1"/>
  <headerFooter alignWithMargins="0"/>
  <colBreaks count="1" manualBreakCount="1">
    <brk id="7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80"/>
  <sheetViews>
    <sheetView tabSelected="1" zoomScaleNormal="100" workbookViewId="0">
      <selection activeCell="A42" sqref="A42"/>
    </sheetView>
  </sheetViews>
  <sheetFormatPr defaultColWidth="8.88671875" defaultRowHeight="13.2" x14ac:dyDescent="0.25"/>
  <cols>
    <col min="1" max="1" width="29" bestFit="1" customWidth="1"/>
    <col min="2" max="2" width="27.6640625" bestFit="1" customWidth="1"/>
    <col min="3" max="4" width="8.6640625" customWidth="1"/>
    <col min="5" max="5" width="5.6640625" customWidth="1"/>
    <col min="6" max="6" width="8.33203125" bestFit="1" customWidth="1"/>
    <col min="7" max="7" width="5.44140625" bestFit="1" customWidth="1"/>
    <col min="8" max="8" width="8.33203125" hidden="1" customWidth="1"/>
    <col min="9" max="9" width="5.88671875" hidden="1" customWidth="1"/>
    <col min="10" max="10" width="8.33203125" hidden="1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94" t="s">
        <v>174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6" t="s">
        <v>15</v>
      </c>
      <c r="B4" s="6"/>
      <c r="C4" s="6" t="s">
        <v>171</v>
      </c>
      <c r="D4" s="6" t="s">
        <v>170</v>
      </c>
      <c r="E4" s="88" t="s">
        <v>38</v>
      </c>
      <c r="F4" s="88" t="s">
        <v>5</v>
      </c>
      <c r="G4" s="88" t="s">
        <v>38</v>
      </c>
      <c r="H4" s="7" t="s">
        <v>39</v>
      </c>
      <c r="I4" s="7" t="s">
        <v>38</v>
      </c>
      <c r="J4" s="7" t="s">
        <v>40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2"/>
      <c r="B5" s="2" t="s">
        <v>16</v>
      </c>
      <c r="C5" s="2"/>
      <c r="D5" s="2"/>
      <c r="E5" s="2"/>
      <c r="F5" s="3"/>
      <c r="G5" s="4"/>
      <c r="H5" s="3"/>
      <c r="I5" s="4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2"/>
      <c r="B6" s="2" t="s">
        <v>18</v>
      </c>
      <c r="C6" s="89">
        <v>650</v>
      </c>
      <c r="D6" s="89">
        <v>653.45000000000005</v>
      </c>
      <c r="E6" s="4">
        <f t="shared" ref="E6:G45" si="0">(D6-F6)/F6</f>
        <v>5.3076923076923778E-3</v>
      </c>
      <c r="F6" s="91">
        <v>650</v>
      </c>
      <c r="G6" s="4">
        <f t="shared" si="0"/>
        <v>1.088646967340591E-2</v>
      </c>
      <c r="H6" s="3">
        <v>643</v>
      </c>
      <c r="I6" s="4">
        <f t="shared" ref="I6:I35" si="1">(H6-J6)/J6</f>
        <v>0.63197969543147203</v>
      </c>
      <c r="J6" s="3">
        <v>394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2"/>
      <c r="B7" s="2" t="s">
        <v>19</v>
      </c>
      <c r="C7" s="89">
        <v>450</v>
      </c>
      <c r="D7" s="89">
        <v>480</v>
      </c>
      <c r="E7" s="4">
        <f t="shared" si="0"/>
        <v>-0.04</v>
      </c>
      <c r="F7" s="91">
        <v>500</v>
      </c>
      <c r="G7" s="4">
        <f t="shared" si="0"/>
        <v>7.333333333333333</v>
      </c>
      <c r="H7" s="3">
        <v>60</v>
      </c>
      <c r="I7" s="4">
        <f t="shared" si="1"/>
        <v>-0.89881956155143339</v>
      </c>
      <c r="J7" s="3">
        <v>593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1" x14ac:dyDescent="0.25">
      <c r="A8" s="2"/>
      <c r="B8" s="11" t="s">
        <v>48</v>
      </c>
      <c r="C8" s="89">
        <v>3800</v>
      </c>
      <c r="D8" s="89">
        <v>3800</v>
      </c>
      <c r="E8" s="4">
        <f t="shared" si="0"/>
        <v>0</v>
      </c>
      <c r="F8" s="91">
        <v>3800</v>
      </c>
      <c r="G8" s="4">
        <f t="shared" si="0"/>
        <v>-8.6094442995043041E-3</v>
      </c>
      <c r="H8" s="3">
        <v>3833</v>
      </c>
      <c r="I8" s="4">
        <f t="shared" si="1"/>
        <v>0.54059485530546625</v>
      </c>
      <c r="J8" s="3">
        <v>2488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2"/>
      <c r="B9" s="2"/>
      <c r="C9" s="89"/>
      <c r="D9" s="89"/>
      <c r="E9" s="2"/>
      <c r="F9" s="91"/>
      <c r="G9" s="4"/>
      <c r="H9" s="3"/>
      <c r="I9" s="4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2"/>
      <c r="B10" s="2" t="s">
        <v>20</v>
      </c>
      <c r="C10" s="89"/>
      <c r="D10" s="89"/>
      <c r="E10" s="2"/>
      <c r="F10" s="91"/>
      <c r="G10" s="4"/>
      <c r="H10" s="3"/>
      <c r="I10" s="4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1" x14ac:dyDescent="0.25">
      <c r="A11" s="2"/>
      <c r="B11" s="11" t="s">
        <v>49</v>
      </c>
      <c r="C11" s="89">
        <v>5800</v>
      </c>
      <c r="D11" s="89">
        <v>5490</v>
      </c>
      <c r="E11" s="4">
        <f t="shared" si="0"/>
        <v>-5.3448275862068968E-2</v>
      </c>
      <c r="F11" s="91">
        <v>5800</v>
      </c>
      <c r="G11" s="4">
        <f t="shared" si="0"/>
        <v>0.4438635797859099</v>
      </c>
      <c r="H11" s="3">
        <v>4017</v>
      </c>
      <c r="I11" s="4">
        <f t="shared" si="1"/>
        <v>-0.24221844934917941</v>
      </c>
      <c r="J11" s="3">
        <v>5301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2"/>
      <c r="B12" s="2"/>
      <c r="C12" s="89"/>
      <c r="D12" s="89"/>
      <c r="E12" s="2"/>
      <c r="F12" s="91"/>
      <c r="G12" s="4"/>
      <c r="H12" s="3"/>
      <c r="I12" s="4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2"/>
      <c r="B13" s="2" t="s">
        <v>27</v>
      </c>
      <c r="C13" s="89"/>
      <c r="D13" s="89"/>
      <c r="E13" s="2"/>
      <c r="F13" s="91"/>
      <c r="G13" s="4"/>
      <c r="H13" s="3"/>
      <c r="I13" s="4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2"/>
      <c r="B14" s="2" t="s">
        <v>21</v>
      </c>
      <c r="C14" s="89">
        <v>0</v>
      </c>
      <c r="D14" s="89">
        <v>781</v>
      </c>
      <c r="E14" s="4">
        <f t="shared" si="0"/>
        <v>-2.375E-2</v>
      </c>
      <c r="F14" s="91">
        <v>800</v>
      </c>
      <c r="G14" s="4">
        <f t="shared" si="0"/>
        <v>0.21765601217656011</v>
      </c>
      <c r="H14" s="3">
        <v>657</v>
      </c>
      <c r="I14" s="4">
        <f t="shared" si="1"/>
        <v>7.1111111111111107</v>
      </c>
      <c r="J14" s="3">
        <v>81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2"/>
      <c r="B15" s="2" t="s">
        <v>22</v>
      </c>
      <c r="C15" s="89">
        <v>0</v>
      </c>
      <c r="D15" s="89">
        <v>131</v>
      </c>
      <c r="E15" s="4">
        <f t="shared" si="0"/>
        <v>0.31</v>
      </c>
      <c r="F15" s="91">
        <v>100</v>
      </c>
      <c r="G15" s="4">
        <f t="shared" si="0"/>
        <v>0</v>
      </c>
      <c r="H15" s="3">
        <v>100</v>
      </c>
      <c r="I15" s="4"/>
      <c r="J15" s="3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2"/>
      <c r="B16" s="2" t="s">
        <v>23</v>
      </c>
      <c r="C16" s="89"/>
      <c r="D16" s="89"/>
      <c r="E16" s="2"/>
      <c r="F16" s="91">
        <v>300</v>
      </c>
      <c r="G16" s="4">
        <f t="shared" si="0"/>
        <v>0.44927536231884058</v>
      </c>
      <c r="H16" s="3">
        <v>207</v>
      </c>
      <c r="I16" s="4">
        <f t="shared" si="1"/>
        <v>-0.36890243902439024</v>
      </c>
      <c r="J16" s="3">
        <v>328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2"/>
      <c r="B17" s="2" t="s">
        <v>24</v>
      </c>
      <c r="C17" s="89"/>
      <c r="D17" s="89"/>
      <c r="E17" s="2"/>
      <c r="F17" s="91">
        <v>300</v>
      </c>
      <c r="G17" s="4">
        <f t="shared" si="0"/>
        <v>0.58730158730158732</v>
      </c>
      <c r="H17" s="3">
        <v>189</v>
      </c>
      <c r="I17" s="4"/>
      <c r="J17" s="3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2"/>
      <c r="B18" s="2" t="s">
        <v>25</v>
      </c>
      <c r="C18" s="89">
        <v>300</v>
      </c>
      <c r="D18" s="89">
        <v>130</v>
      </c>
      <c r="E18" s="4">
        <f t="shared" si="0"/>
        <v>-0.56666666666666665</v>
      </c>
      <c r="F18" s="91">
        <v>300</v>
      </c>
      <c r="G18" s="4">
        <f t="shared" si="0"/>
        <v>4.0847457627118642</v>
      </c>
      <c r="H18" s="3">
        <v>59</v>
      </c>
      <c r="I18" s="4"/>
      <c r="J18" s="3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2"/>
      <c r="B19" s="11" t="s">
        <v>175</v>
      </c>
      <c r="C19" s="89"/>
      <c r="D19" s="89">
        <v>0</v>
      </c>
      <c r="E19" s="11"/>
      <c r="F19" s="91">
        <v>0</v>
      </c>
      <c r="G19" s="4">
        <f t="shared" si="0"/>
        <v>-1</v>
      </c>
      <c r="H19" s="3">
        <v>528</v>
      </c>
      <c r="I19" s="4">
        <f t="shared" si="1"/>
        <v>-0.47722772277227721</v>
      </c>
      <c r="J19" s="3">
        <v>1010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2"/>
      <c r="B20" s="2"/>
      <c r="C20" s="89"/>
      <c r="D20" s="89"/>
      <c r="E20" s="2"/>
      <c r="F20" s="91"/>
      <c r="G20" s="4"/>
      <c r="H20" s="3"/>
      <c r="I20" s="4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2"/>
      <c r="B21" s="2" t="s">
        <v>26</v>
      </c>
      <c r="C21" s="89"/>
      <c r="D21" s="89"/>
      <c r="E21" s="2"/>
      <c r="F21" s="91"/>
      <c r="G21" s="4"/>
      <c r="H21" s="3"/>
      <c r="I21" s="4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2"/>
      <c r="B22" s="11" t="s">
        <v>176</v>
      </c>
      <c r="C22" s="89">
        <v>0</v>
      </c>
      <c r="D22" s="89">
        <v>3328</v>
      </c>
      <c r="E22" s="4">
        <f t="shared" si="0"/>
        <v>-0.39490909090909093</v>
      </c>
      <c r="F22" s="91">
        <v>5500</v>
      </c>
      <c r="G22" s="4">
        <f t="shared" si="0"/>
        <v>0.11245954692556634</v>
      </c>
      <c r="H22" s="3">
        <v>4944</v>
      </c>
      <c r="I22" s="4">
        <f t="shared" si="1"/>
        <v>-5.7567670606176131E-2</v>
      </c>
      <c r="J22" s="3">
        <v>5246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2"/>
      <c r="B23" s="2" t="s">
        <v>28</v>
      </c>
      <c r="C23" s="89">
        <v>1000</v>
      </c>
      <c r="D23" s="89">
        <v>1159</v>
      </c>
      <c r="E23" s="4">
        <f t="shared" si="0"/>
        <v>-0.22733333333333333</v>
      </c>
      <c r="F23" s="91">
        <v>1500</v>
      </c>
      <c r="G23" s="4">
        <f t="shared" si="0"/>
        <v>-2.5974025974025976E-2</v>
      </c>
      <c r="H23" s="3">
        <v>1540</v>
      </c>
      <c r="I23" s="4">
        <f t="shared" si="1"/>
        <v>9.1424521615875262E-2</v>
      </c>
      <c r="J23" s="3">
        <v>1411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2" t="s">
        <v>29</v>
      </c>
      <c r="C24" s="89"/>
      <c r="D24" s="89">
        <v>0</v>
      </c>
      <c r="E24" s="2"/>
      <c r="F24" s="91">
        <v>700</v>
      </c>
      <c r="G24" s="4">
        <f t="shared" si="0"/>
        <v>0</v>
      </c>
      <c r="H24" s="3">
        <v>700</v>
      </c>
      <c r="I24" s="4">
        <f t="shared" si="1"/>
        <v>0.73267326732673266</v>
      </c>
      <c r="J24" s="3">
        <v>404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2"/>
      <c r="B25" s="2"/>
      <c r="C25" s="89"/>
      <c r="D25" s="89"/>
      <c r="E25" s="2"/>
      <c r="F25" s="91"/>
      <c r="G25" s="4"/>
      <c r="H25" s="3"/>
      <c r="I25" s="4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"/>
      <c r="B26" s="2" t="s">
        <v>30</v>
      </c>
      <c r="C26" s="89"/>
      <c r="D26" s="89"/>
      <c r="E26" s="2"/>
      <c r="F26" s="91"/>
      <c r="G26" s="4"/>
      <c r="H26" s="3"/>
      <c r="I26" s="4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2"/>
      <c r="B27" s="10" t="s">
        <v>178</v>
      </c>
      <c r="C27" s="89">
        <f>19*184</f>
        <v>3496</v>
      </c>
      <c r="D27" s="89">
        <v>4730</v>
      </c>
      <c r="E27" s="4">
        <f t="shared" si="0"/>
        <v>0.1</v>
      </c>
      <c r="F27" s="91">
        <v>4300</v>
      </c>
      <c r="G27" s="4">
        <f t="shared" si="0"/>
        <v>-0.11794871794871795</v>
      </c>
      <c r="H27" s="3">
        <v>4875</v>
      </c>
      <c r="I27" s="4">
        <f t="shared" si="1"/>
        <v>0.16071428571428573</v>
      </c>
      <c r="J27" s="3">
        <v>4200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2"/>
      <c r="B28" s="10" t="s">
        <v>50</v>
      </c>
      <c r="C28" s="89">
        <v>300</v>
      </c>
      <c r="D28" s="89">
        <v>296</v>
      </c>
      <c r="E28" s="4">
        <f t="shared" si="0"/>
        <v>-0.50666666666666671</v>
      </c>
      <c r="F28" s="91">
        <v>600</v>
      </c>
      <c r="G28" s="4">
        <f t="shared" si="0"/>
        <v>-9.9009900990099011E-3</v>
      </c>
      <c r="H28" s="3">
        <v>606</v>
      </c>
      <c r="I28" s="4">
        <f t="shared" si="1"/>
        <v>1.4337349397590362</v>
      </c>
      <c r="J28" s="3">
        <v>249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2"/>
      <c r="B29" s="10" t="s">
        <v>51</v>
      </c>
      <c r="C29" s="89"/>
      <c r="D29" s="89">
        <v>0</v>
      </c>
      <c r="E29" s="10"/>
      <c r="F29" s="91">
        <v>105</v>
      </c>
      <c r="G29" s="4">
        <v>1</v>
      </c>
      <c r="H29" s="3"/>
      <c r="I29" s="4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2"/>
      <c r="B30" s="2" t="s">
        <v>31</v>
      </c>
      <c r="C30" s="89">
        <v>1100</v>
      </c>
      <c r="D30" s="89">
        <v>1100</v>
      </c>
      <c r="E30" s="4">
        <f t="shared" si="0"/>
        <v>0</v>
      </c>
      <c r="F30" s="91">
        <v>1100</v>
      </c>
      <c r="G30" s="4">
        <f t="shared" si="0"/>
        <v>-6.7005937234944871E-2</v>
      </c>
      <c r="H30" s="3">
        <v>1179</v>
      </c>
      <c r="I30" s="4">
        <f t="shared" si="1"/>
        <v>0.33371040723981898</v>
      </c>
      <c r="J30" s="3">
        <v>884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2"/>
      <c r="B31" s="2" t="s">
        <v>32</v>
      </c>
      <c r="C31" s="89">
        <v>500</v>
      </c>
      <c r="D31" s="89">
        <v>496</v>
      </c>
      <c r="E31" s="4">
        <f t="shared" si="0"/>
        <v>-8.0000000000000002E-3</v>
      </c>
      <c r="F31" s="91">
        <v>500</v>
      </c>
      <c r="G31" s="4">
        <f t="shared" si="0"/>
        <v>0</v>
      </c>
      <c r="H31" s="3">
        <v>500</v>
      </c>
      <c r="I31" s="4">
        <f t="shared" si="1"/>
        <v>26.777777777777779</v>
      </c>
      <c r="J31" s="3">
        <v>18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2"/>
      <c r="B32" s="10" t="s">
        <v>186</v>
      </c>
      <c r="C32" s="89">
        <v>3000</v>
      </c>
      <c r="D32" s="89">
        <v>0</v>
      </c>
      <c r="E32" s="2"/>
      <c r="F32" s="91">
        <v>1000</v>
      </c>
      <c r="G32" s="4"/>
      <c r="H32" s="3">
        <v>0</v>
      </c>
      <c r="I32" s="4">
        <f t="shared" si="1"/>
        <v>-1</v>
      </c>
      <c r="J32" s="3">
        <v>1000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2"/>
      <c r="B33" s="2"/>
      <c r="C33" s="89"/>
      <c r="D33" s="89"/>
      <c r="E33" s="2"/>
      <c r="F33" s="91"/>
      <c r="G33" s="4"/>
      <c r="H33" s="3"/>
      <c r="I33" s="4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2"/>
      <c r="B34" s="2" t="s">
        <v>34</v>
      </c>
      <c r="C34" s="89"/>
      <c r="D34" s="89"/>
      <c r="E34" s="2"/>
      <c r="F34" s="91"/>
      <c r="G34" s="4"/>
      <c r="H34" s="3"/>
      <c r="I34" s="4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2"/>
      <c r="B35" s="2" t="s">
        <v>35</v>
      </c>
      <c r="C35" s="89"/>
      <c r="D35" s="89">
        <v>0</v>
      </c>
      <c r="E35" s="2"/>
      <c r="F35" s="91">
        <v>86</v>
      </c>
      <c r="G35" s="4">
        <f t="shared" si="0"/>
        <v>0</v>
      </c>
      <c r="H35" s="3">
        <v>86</v>
      </c>
      <c r="I35" s="4">
        <f t="shared" si="1"/>
        <v>0</v>
      </c>
      <c r="J35" s="3">
        <v>86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2"/>
      <c r="B36" s="10" t="s">
        <v>172</v>
      </c>
      <c r="C36" s="89">
        <v>75</v>
      </c>
      <c r="D36" s="89">
        <v>63</v>
      </c>
      <c r="E36" s="4"/>
      <c r="F36" s="91">
        <v>0</v>
      </c>
      <c r="G36" s="4"/>
      <c r="H36" s="3"/>
      <c r="I36" s="4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1" x14ac:dyDescent="0.25">
      <c r="A37" s="2"/>
      <c r="B37" s="11" t="s">
        <v>173</v>
      </c>
      <c r="C37" s="89"/>
      <c r="D37" s="89"/>
      <c r="E37" s="4"/>
      <c r="F37" s="91"/>
      <c r="G37" s="4"/>
      <c r="H37" s="3"/>
      <c r="I37" s="4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2"/>
      <c r="B38" s="10" t="s">
        <v>179</v>
      </c>
      <c r="C38" s="89">
        <v>0</v>
      </c>
      <c r="D38" s="89"/>
      <c r="E38" s="4"/>
      <c r="F38" s="91"/>
      <c r="G38" s="4"/>
      <c r="H38" s="3"/>
      <c r="I38" s="4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2"/>
      <c r="B39" s="10" t="s">
        <v>180</v>
      </c>
      <c r="C39" s="89">
        <v>400</v>
      </c>
      <c r="D39" s="89"/>
      <c r="E39" s="4"/>
      <c r="F39" s="91"/>
      <c r="G39" s="4"/>
      <c r="H39" s="3"/>
      <c r="I39" s="4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2"/>
      <c r="B40" s="10" t="s">
        <v>181</v>
      </c>
      <c r="C40" s="89">
        <v>500</v>
      </c>
      <c r="D40" s="89"/>
      <c r="E40" s="4"/>
      <c r="F40" s="91"/>
      <c r="G40" s="4"/>
      <c r="H40" s="3"/>
      <c r="I40" s="4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2"/>
      <c r="B41" s="10" t="s">
        <v>182</v>
      </c>
      <c r="C41" s="89">
        <v>0</v>
      </c>
      <c r="D41" s="89"/>
      <c r="E41" s="4"/>
      <c r="F41" s="91"/>
      <c r="G41" s="4"/>
      <c r="H41" s="3"/>
      <c r="I41" s="4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2"/>
      <c r="B42" s="10" t="s">
        <v>183</v>
      </c>
      <c r="C42" s="89">
        <v>3000</v>
      </c>
      <c r="D42" s="89"/>
      <c r="E42" s="4"/>
      <c r="F42" s="91"/>
      <c r="G42" s="4"/>
      <c r="H42" s="3"/>
      <c r="I42" s="4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2"/>
      <c r="B43" s="10" t="s">
        <v>185</v>
      </c>
      <c r="C43" s="89">
        <v>7000</v>
      </c>
      <c r="D43" s="89"/>
      <c r="E43" s="4"/>
      <c r="F43" s="91"/>
      <c r="G43" s="4"/>
      <c r="H43" s="3"/>
      <c r="I43" s="4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2"/>
      <c r="B44" s="10" t="s">
        <v>184</v>
      </c>
      <c r="C44" s="89">
        <v>1500</v>
      </c>
      <c r="D44" s="89"/>
      <c r="E44" s="4"/>
      <c r="F44" s="91"/>
      <c r="G44" s="4"/>
      <c r="H44" s="3"/>
      <c r="I44" s="4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8" thickBot="1" x14ac:dyDescent="0.3">
      <c r="A45" s="6" t="s">
        <v>17</v>
      </c>
      <c r="B45" s="2"/>
      <c r="C45" s="90">
        <f>SUM(C5:C44)</f>
        <v>32871</v>
      </c>
      <c r="D45" s="90">
        <f>SUM(D5:D44)</f>
        <v>22637.45</v>
      </c>
      <c r="E45" s="4">
        <f t="shared" si="0"/>
        <v>-0.18981246197344401</v>
      </c>
      <c r="F45" s="90">
        <f>SUM(F5:F44)</f>
        <v>27941</v>
      </c>
      <c r="G45" s="4">
        <f t="shared" ref="E45:G50" si="2">(F45-H45)/H45</f>
        <v>0.1301621971443595</v>
      </c>
      <c r="H45" s="8">
        <f>SUM(H5:H44)</f>
        <v>24723</v>
      </c>
      <c r="I45" s="4">
        <f>(H45-J45)/J45</f>
        <v>4.3472755666230531E-2</v>
      </c>
      <c r="J45" s="8">
        <f>SUM(J5:J44)</f>
        <v>23693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8" thickTop="1" x14ac:dyDescent="0.25">
      <c r="A46" s="2"/>
      <c r="B46" s="2"/>
      <c r="C46" s="89"/>
      <c r="D46" s="93"/>
      <c r="E46" s="2"/>
      <c r="F46" s="91"/>
      <c r="G46" s="4"/>
      <c r="H46" s="3"/>
      <c r="I46" s="4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2"/>
      <c r="B47" s="2"/>
      <c r="C47" s="89"/>
      <c r="D47" s="93"/>
      <c r="E47" s="2"/>
      <c r="F47" s="92"/>
      <c r="G47" s="4"/>
      <c r="H47" s="3"/>
      <c r="I47" s="4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6" t="s">
        <v>12</v>
      </c>
      <c r="B48" s="2"/>
      <c r="C48" s="89">
        <f>Revenue!$C$34</f>
        <v>22850</v>
      </c>
      <c r="D48" s="89">
        <f>Revenue!$D$34</f>
        <v>21282</v>
      </c>
      <c r="E48" s="4">
        <f t="shared" si="2"/>
        <v>-0.31083837958615329</v>
      </c>
      <c r="F48" s="92">
        <v>30881</v>
      </c>
      <c r="G48" s="4">
        <f t="shared" si="2"/>
        <v>-0.21302242609582059</v>
      </c>
      <c r="H48" s="5">
        <f>Revenue!H34</f>
        <v>39240</v>
      </c>
      <c r="I48" s="4">
        <f>(H48-J48)/J48</f>
        <v>1.7133673760335935E-2</v>
      </c>
      <c r="J48" s="5">
        <f>Revenue!J34</f>
        <v>38579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6" t="s">
        <v>36</v>
      </c>
      <c r="B49" s="2"/>
      <c r="C49" s="91">
        <f>C45</f>
        <v>32871</v>
      </c>
      <c r="D49" s="89">
        <f>D45</f>
        <v>22637.45</v>
      </c>
      <c r="E49" s="4">
        <f t="shared" si="2"/>
        <v>-0.18981246197344401</v>
      </c>
      <c r="F49" s="91">
        <f>F45</f>
        <v>27941</v>
      </c>
      <c r="G49" s="4">
        <f t="shared" si="2"/>
        <v>0.1301621971443595</v>
      </c>
      <c r="H49" s="3">
        <f>H45</f>
        <v>24723</v>
      </c>
      <c r="I49" s="4">
        <f>(H49-J49)/J49</f>
        <v>4.3472755666230531E-2</v>
      </c>
      <c r="J49" s="3">
        <f>J45</f>
        <v>23693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.8" thickBot="1" x14ac:dyDescent="0.3">
      <c r="A50" s="6" t="s">
        <v>37</v>
      </c>
      <c r="B50" s="2"/>
      <c r="C50" s="90">
        <f>C48-C49</f>
        <v>-10021</v>
      </c>
      <c r="D50" s="90">
        <f>D48-D49</f>
        <v>-1355.4500000000007</v>
      </c>
      <c r="E50" s="4">
        <f t="shared" si="2"/>
        <v>-1.4610374149659866</v>
      </c>
      <c r="F50" s="90">
        <f>F48-F49</f>
        <v>2940</v>
      </c>
      <c r="G50" s="4">
        <f t="shared" si="2"/>
        <v>-0.79747881793759046</v>
      </c>
      <c r="H50" s="8">
        <f>H48-H49</f>
        <v>14517</v>
      </c>
      <c r="I50" s="4">
        <f>(H50-J50)/J50</f>
        <v>-2.4788391777509067E-2</v>
      </c>
      <c r="J50" s="8">
        <f>J48-J49</f>
        <v>14886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8" thickTop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</sheetData>
  <mergeCells count="1">
    <mergeCell ref="A2:J2"/>
  </mergeCells>
  <phoneticPr fontId="3" type="noConversion"/>
  <pageMargins left="0.25" right="0.25" top="0.75" bottom="0.75" header="0.3" footer="0.3"/>
  <pageSetup scale="97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A38" sqref="A38"/>
    </sheetView>
  </sheetViews>
  <sheetFormatPr defaultColWidth="11.44140625" defaultRowHeight="13.2" x14ac:dyDescent="0.25"/>
  <cols>
    <col min="1" max="1" width="11.44140625" style="33"/>
    <col min="2" max="2" width="16.6640625" style="33" customWidth="1"/>
    <col min="3" max="3" width="1" style="33" customWidth="1"/>
    <col min="4" max="4" width="9.6640625" style="33" bestFit="1" customWidth="1"/>
    <col min="5" max="5" width="2.6640625" style="33" bestFit="1" customWidth="1"/>
    <col min="6" max="6" width="19.44140625" style="33" customWidth="1"/>
    <col min="7" max="7" width="11.5546875" style="33" customWidth="1"/>
    <col min="8" max="8" width="9" style="64" bestFit="1" customWidth="1"/>
    <col min="9" max="9" width="11.44140625" style="33"/>
    <col min="10" max="10" width="11.33203125" style="33" bestFit="1" customWidth="1"/>
    <col min="11" max="16384" width="11.44140625" style="33"/>
  </cols>
  <sheetData>
    <row r="1" spans="1:10" x14ac:dyDescent="0.25">
      <c r="A1" s="36" t="s">
        <v>53</v>
      </c>
      <c r="B1" s="36"/>
      <c r="C1" s="36"/>
      <c r="D1" s="36"/>
      <c r="E1" s="36"/>
      <c r="F1" s="36"/>
      <c r="G1" s="36"/>
    </row>
    <row r="2" spans="1:10" x14ac:dyDescent="0.25">
      <c r="A2" s="36" t="s">
        <v>115</v>
      </c>
      <c r="B2" s="36"/>
      <c r="C2" s="36"/>
      <c r="D2" s="36"/>
      <c r="E2" s="36"/>
      <c r="F2" s="36"/>
      <c r="G2" s="36"/>
    </row>
    <row r="4" spans="1:10" x14ac:dyDescent="0.25">
      <c r="B4" s="17" t="s">
        <v>61</v>
      </c>
      <c r="C4" s="17"/>
      <c r="D4" s="37">
        <v>41790</v>
      </c>
      <c r="E4" s="25" t="s">
        <v>54</v>
      </c>
      <c r="F4" s="37">
        <v>41882</v>
      </c>
    </row>
    <row r="6" spans="1:10" x14ac:dyDescent="0.25">
      <c r="B6" s="50" t="s">
        <v>163</v>
      </c>
      <c r="C6" s="50"/>
      <c r="D6" s="50"/>
      <c r="E6" s="50"/>
      <c r="F6" s="49"/>
      <c r="G6" s="49">
        <v>22492.18</v>
      </c>
      <c r="H6" s="64" t="s">
        <v>68</v>
      </c>
      <c r="I6" s="38"/>
    </row>
    <row r="7" spans="1:10" x14ac:dyDescent="0.25">
      <c r="F7" s="38"/>
      <c r="G7" s="38"/>
      <c r="I7" s="38"/>
    </row>
    <row r="8" spans="1:10" x14ac:dyDescent="0.25">
      <c r="B8" s="87" t="s">
        <v>91</v>
      </c>
      <c r="C8" s="44"/>
      <c r="D8" s="44"/>
      <c r="E8" s="44"/>
      <c r="F8" s="39"/>
      <c r="G8" s="39"/>
    </row>
    <row r="9" spans="1:10" x14ac:dyDescent="0.25">
      <c r="A9" s="17"/>
      <c r="B9" s="79" t="str">
        <f>'2013-2014 Budget 31July14'!B9</f>
        <v>Read-a-thon</v>
      </c>
      <c r="C9" s="43"/>
      <c r="D9" s="43"/>
      <c r="E9" s="43"/>
      <c r="F9" s="42"/>
      <c r="G9" s="42">
        <f>'2013-2014 Budget 31July14'!F9</f>
        <v>20</v>
      </c>
    </row>
    <row r="10" spans="1:10" x14ac:dyDescent="0.25">
      <c r="B10" s="79" t="str">
        <f>'2013-2014 Budget 31July14'!B10</f>
        <v>Spring Fling</v>
      </c>
      <c r="C10" s="43"/>
      <c r="D10" s="43"/>
      <c r="E10" s="43"/>
      <c r="F10" s="42"/>
      <c r="G10" s="42">
        <f>'2013-2014 Budget 31July14'!F10</f>
        <v>2475.75</v>
      </c>
      <c r="H10" s="64" t="s">
        <v>57</v>
      </c>
      <c r="J10" s="38"/>
    </row>
    <row r="11" spans="1:10" x14ac:dyDescent="0.25">
      <c r="B11" s="79" t="str">
        <f>'2013-2014 Budget 31July14'!B12</f>
        <v xml:space="preserve">Lunch Lady </v>
      </c>
      <c r="C11" s="43"/>
      <c r="D11" s="43"/>
      <c r="E11" s="43"/>
      <c r="F11" s="42"/>
      <c r="G11" s="42">
        <f>'2013-2014 Budget 31July14'!F12</f>
        <v>213.45</v>
      </c>
      <c r="J11" s="38"/>
    </row>
    <row r="12" spans="1:10" x14ac:dyDescent="0.25">
      <c r="B12" s="79" t="s">
        <v>165</v>
      </c>
      <c r="C12" s="43"/>
      <c r="D12" s="43"/>
      <c r="E12" s="43"/>
      <c r="F12" s="42"/>
      <c r="G12" s="42">
        <f>'2013-2014 Budget 31July14'!F15</f>
        <v>-1720</v>
      </c>
      <c r="J12" s="38"/>
    </row>
    <row r="13" spans="1:10" x14ac:dyDescent="0.25">
      <c r="A13" s="17"/>
      <c r="B13" s="50" t="s">
        <v>86</v>
      </c>
      <c r="C13" s="59"/>
      <c r="D13" s="59"/>
      <c r="E13" s="59"/>
      <c r="F13" s="58"/>
      <c r="G13" s="49">
        <f>SUM(G9:G12)</f>
        <v>989.19999999999982</v>
      </c>
      <c r="J13" s="38"/>
    </row>
    <row r="14" spans="1:10" x14ac:dyDescent="0.25">
      <c r="A14" s="17"/>
      <c r="B14" s="17"/>
      <c r="F14" s="38"/>
      <c r="G14" s="46"/>
      <c r="J14" s="38"/>
    </row>
    <row r="15" spans="1:10" x14ac:dyDescent="0.25">
      <c r="A15" s="17"/>
      <c r="B15" s="17" t="s">
        <v>90</v>
      </c>
      <c r="F15" s="38"/>
      <c r="G15" s="38"/>
      <c r="H15" s="66"/>
      <c r="J15" s="38"/>
    </row>
    <row r="16" spans="1:10" x14ac:dyDescent="0.25">
      <c r="A16" s="17"/>
      <c r="B16" s="51" t="s">
        <v>92</v>
      </c>
      <c r="C16" s="52"/>
      <c r="D16" s="52"/>
      <c r="E16" s="52"/>
      <c r="F16" s="53"/>
      <c r="G16" s="53"/>
      <c r="H16" s="66"/>
      <c r="I16" s="41"/>
    </row>
    <row r="17" spans="1:10" x14ac:dyDescent="0.25">
      <c r="A17" s="17"/>
      <c r="B17" s="79" t="s">
        <v>7</v>
      </c>
      <c r="C17" s="43"/>
      <c r="D17" s="43"/>
      <c r="E17" s="43"/>
      <c r="F17" s="42"/>
      <c r="G17" s="42">
        <f>'2013-2014 Budget 31July14'!F24</f>
        <v>2771.88</v>
      </c>
      <c r="J17" s="38"/>
    </row>
    <row r="18" spans="1:10" x14ac:dyDescent="0.25">
      <c r="A18" s="17"/>
      <c r="B18" s="54" t="s">
        <v>15</v>
      </c>
      <c r="C18" s="55"/>
      <c r="D18" s="55"/>
      <c r="E18" s="55"/>
      <c r="F18" s="56"/>
      <c r="G18" s="56"/>
      <c r="J18" s="38"/>
    </row>
    <row r="19" spans="1:10" x14ac:dyDescent="0.25">
      <c r="A19" s="17"/>
      <c r="B19" s="79" t="s">
        <v>166</v>
      </c>
      <c r="C19" s="43"/>
      <c r="D19" s="43"/>
      <c r="E19" s="43"/>
      <c r="F19" s="42"/>
      <c r="G19" s="42">
        <f>'2013-2014 Budget 31July14'!N17</f>
        <v>1423.05</v>
      </c>
      <c r="J19" s="38"/>
    </row>
    <row r="20" spans="1:10" x14ac:dyDescent="0.25">
      <c r="B20" s="79" t="str">
        <f>'2013-2014 Budget 31July14'!K15</f>
        <v>JK Welcome</v>
      </c>
      <c r="C20" s="43"/>
      <c r="D20" s="43"/>
      <c r="E20" s="43"/>
      <c r="F20" s="42"/>
      <c r="G20" s="42">
        <f>'2013-2014 Budget 31July14'!N15</f>
        <v>129.75</v>
      </c>
    </row>
    <row r="21" spans="1:10" x14ac:dyDescent="0.25">
      <c r="A21" s="17"/>
      <c r="B21" s="79" t="str">
        <f>'2013-2014 Budget 31July14'!K12</f>
        <v>Year End BBQ</v>
      </c>
      <c r="C21" s="43"/>
      <c r="D21" s="43"/>
      <c r="E21" s="43"/>
      <c r="F21" s="42"/>
      <c r="G21" s="42">
        <f>'2013-2014 Budget 31July14'!N12</f>
        <v>781.04</v>
      </c>
    </row>
    <row r="22" spans="1:10" x14ac:dyDescent="0.25">
      <c r="A22" s="17"/>
      <c r="B22" s="79" t="s">
        <v>81</v>
      </c>
      <c r="C22" s="43"/>
      <c r="D22" s="43"/>
      <c r="E22" s="43"/>
      <c r="F22" s="42"/>
      <c r="G22" s="42">
        <f>'2013-2014 Budget 31July14'!N10</f>
        <v>2214.9800000000005</v>
      </c>
    </row>
    <row r="23" spans="1:10" x14ac:dyDescent="0.25">
      <c r="B23" s="79" t="s">
        <v>167</v>
      </c>
      <c r="C23" s="43"/>
      <c r="D23" s="43"/>
      <c r="E23" s="43"/>
      <c r="F23" s="42"/>
      <c r="G23" s="42">
        <f>'2013-2014 Budget 31July14'!N42</f>
        <v>45.65</v>
      </c>
    </row>
    <row r="24" spans="1:10" x14ac:dyDescent="0.25">
      <c r="B24" s="79" t="str">
        <f>'2013-2014 Budget 31July14'!K18</f>
        <v>Graduation</v>
      </c>
      <c r="C24" s="43"/>
      <c r="D24" s="43"/>
      <c r="E24" s="43"/>
      <c r="F24" s="42"/>
      <c r="G24" s="42">
        <f>'2013-2014 Budget 31July14'!N18</f>
        <v>1159.24</v>
      </c>
    </row>
    <row r="25" spans="1:10" x14ac:dyDescent="0.25">
      <c r="B25" s="79" t="s">
        <v>31</v>
      </c>
      <c r="C25" s="43"/>
      <c r="D25" s="43"/>
      <c r="E25" s="43"/>
      <c r="F25" s="42"/>
      <c r="G25" s="42">
        <f>'2013-2014 Budget 31July14'!N24</f>
        <v>320.96000000000004</v>
      </c>
    </row>
    <row r="26" spans="1:10" x14ac:dyDescent="0.25">
      <c r="B26" s="79" t="str">
        <f>'2013-2014 Budget 31July14'!K25</f>
        <v>Athletic Development</v>
      </c>
      <c r="C26" s="43"/>
      <c r="D26" s="43"/>
      <c r="E26" s="43"/>
      <c r="F26" s="42"/>
      <c r="G26" s="42">
        <f>'2013-2014 Budget 31July14'!N25</f>
        <v>499.46</v>
      </c>
    </row>
    <row r="27" spans="1:10" x14ac:dyDescent="0.25">
      <c r="B27" s="79" t="s">
        <v>19</v>
      </c>
      <c r="C27" s="43"/>
      <c r="D27" s="43"/>
      <c r="E27" s="43"/>
      <c r="F27" s="42"/>
      <c r="G27" s="42">
        <f>'2013-2014 Budget 31July14'!N7</f>
        <v>75</v>
      </c>
      <c r="H27" s="33"/>
    </row>
    <row r="28" spans="1:10" x14ac:dyDescent="0.25">
      <c r="B28" s="43" t="s">
        <v>128</v>
      </c>
      <c r="C28" s="43"/>
      <c r="D28" s="43"/>
      <c r="E28" s="43"/>
      <c r="F28" s="42"/>
      <c r="G28" s="42">
        <f>'2013-2014 Budget 31July14'!N21</f>
        <v>1612</v>
      </c>
      <c r="H28" s="33"/>
      <c r="I28" s="41"/>
      <c r="J28" s="41"/>
    </row>
    <row r="29" spans="1:10" x14ac:dyDescent="0.25">
      <c r="B29" s="50" t="s">
        <v>55</v>
      </c>
      <c r="C29" s="59"/>
      <c r="D29" s="59"/>
      <c r="E29" s="59"/>
      <c r="F29" s="58"/>
      <c r="G29" s="49">
        <f>SUM(G17:G28)</f>
        <v>11033.009999999998</v>
      </c>
      <c r="H29" s="64" t="s">
        <v>58</v>
      </c>
      <c r="I29" s="38"/>
      <c r="J29" s="38"/>
    </row>
    <row r="30" spans="1:10" x14ac:dyDescent="0.25">
      <c r="F30" s="38"/>
      <c r="G30" s="38"/>
    </row>
    <row r="31" spans="1:10" x14ac:dyDescent="0.25">
      <c r="B31" s="50" t="s">
        <v>168</v>
      </c>
      <c r="C31" s="50"/>
      <c r="D31" s="50"/>
      <c r="E31" s="50"/>
      <c r="F31" s="49"/>
      <c r="G31" s="49">
        <f>G6+G13-G29</f>
        <v>12448.370000000003</v>
      </c>
      <c r="H31" s="64" t="s">
        <v>62</v>
      </c>
    </row>
    <row r="32" spans="1:10" x14ac:dyDescent="0.25">
      <c r="A32" s="17"/>
      <c r="F32" s="38"/>
      <c r="G32" s="38"/>
      <c r="J32" s="41"/>
    </row>
    <row r="33" spans="1:10" x14ac:dyDescent="0.25">
      <c r="B33" s="17" t="s">
        <v>169</v>
      </c>
      <c r="G33" s="38">
        <v>12448.37</v>
      </c>
      <c r="I33" s="41"/>
      <c r="J33" s="41"/>
    </row>
    <row r="34" spans="1:10" x14ac:dyDescent="0.25">
      <c r="B34" s="17" t="s">
        <v>106</v>
      </c>
      <c r="G34" s="42">
        <v>0</v>
      </c>
      <c r="J34" s="41"/>
    </row>
    <row r="35" spans="1:10" x14ac:dyDescent="0.25">
      <c r="B35" s="50" t="s">
        <v>109</v>
      </c>
      <c r="C35" s="50"/>
      <c r="D35" s="50"/>
      <c r="E35" s="50"/>
      <c r="F35" s="49"/>
      <c r="G35" s="49">
        <f>G33-G34</f>
        <v>12448.37</v>
      </c>
      <c r="H35" s="64" t="s">
        <v>59</v>
      </c>
      <c r="J35" s="41"/>
    </row>
    <row r="36" spans="1:10" x14ac:dyDescent="0.25">
      <c r="F36" s="38"/>
      <c r="G36" s="38"/>
    </row>
    <row r="37" spans="1:10" x14ac:dyDescent="0.25">
      <c r="A37" s="17"/>
      <c r="B37" s="50" t="s">
        <v>110</v>
      </c>
      <c r="C37" s="50"/>
      <c r="D37" s="50"/>
      <c r="E37" s="50"/>
      <c r="F37" s="49"/>
      <c r="G37" s="49">
        <f>'2013-2014 Budget 31July14'!H41</f>
        <v>500</v>
      </c>
      <c r="H37" s="64" t="s">
        <v>60</v>
      </c>
    </row>
    <row r="38" spans="1:10" x14ac:dyDescent="0.25">
      <c r="B38" s="47"/>
      <c r="C38" s="47"/>
      <c r="D38" s="47"/>
      <c r="E38" s="47"/>
      <c r="F38" s="46"/>
      <c r="G38" s="46"/>
    </row>
    <row r="39" spans="1:10" x14ac:dyDescent="0.25">
      <c r="B39" s="50" t="s">
        <v>120</v>
      </c>
      <c r="C39" s="50"/>
      <c r="D39" s="50"/>
      <c r="E39" s="50"/>
      <c r="F39" s="49"/>
      <c r="G39" s="49">
        <f>-'2013-2014 Budget 31July14'!P44</f>
        <v>-16234.910000000002</v>
      </c>
      <c r="H39" s="64" t="s">
        <v>64</v>
      </c>
      <c r="I39" s="38"/>
    </row>
    <row r="40" spans="1:10" x14ac:dyDescent="0.25">
      <c r="F40" s="38"/>
      <c r="G40" s="38"/>
      <c r="I40" s="38"/>
    </row>
    <row r="41" spans="1:10" ht="13.8" thickBot="1" x14ac:dyDescent="0.3">
      <c r="B41" s="24" t="s">
        <v>56</v>
      </c>
      <c r="C41" s="35"/>
      <c r="D41" s="35"/>
      <c r="E41" s="35"/>
      <c r="F41" s="60"/>
      <c r="G41" s="61">
        <f>G35+G37+G39</f>
        <v>-3286.5400000000009</v>
      </c>
      <c r="H41" s="64" t="s">
        <v>138</v>
      </c>
    </row>
    <row r="42" spans="1:10" ht="13.8" thickTop="1" x14ac:dyDescent="0.25"/>
    <row r="52" spans="1:1" x14ac:dyDescent="0.25">
      <c r="A52" s="17"/>
    </row>
  </sheetData>
  <pageMargins left="0.75" right="0.75" top="1" bottom="1" header="0.5" footer="0.5"/>
  <pageSetup scale="87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G11" sqref="G11"/>
    </sheetView>
  </sheetViews>
  <sheetFormatPr defaultColWidth="11.44140625" defaultRowHeight="13.2" x14ac:dyDescent="0.25"/>
  <cols>
    <col min="1" max="1" width="11.44140625" style="33"/>
    <col min="2" max="2" width="16.6640625" style="33" customWidth="1"/>
    <col min="3" max="3" width="1" style="33" customWidth="1"/>
    <col min="4" max="4" width="9.6640625" style="33" bestFit="1" customWidth="1"/>
    <col min="5" max="5" width="2.6640625" style="33" bestFit="1" customWidth="1"/>
    <col min="6" max="6" width="19.44140625" style="33" customWidth="1"/>
    <col min="7" max="7" width="11.5546875" style="33" customWidth="1"/>
    <col min="8" max="8" width="9" style="64" bestFit="1" customWidth="1"/>
    <col min="9" max="9" width="11.44140625" style="33"/>
    <col min="10" max="10" width="11.33203125" style="33" bestFit="1" customWidth="1"/>
    <col min="11" max="16384" width="11.44140625" style="33"/>
  </cols>
  <sheetData>
    <row r="1" spans="1:10" x14ac:dyDescent="0.25">
      <c r="A1" s="36" t="s">
        <v>53</v>
      </c>
      <c r="B1" s="36"/>
      <c r="C1" s="36"/>
      <c r="D1" s="36"/>
      <c r="E1" s="36"/>
      <c r="F1" s="36"/>
      <c r="G1" s="36"/>
    </row>
    <row r="2" spans="1:10" x14ac:dyDescent="0.25">
      <c r="A2" s="36" t="s">
        <v>115</v>
      </c>
      <c r="B2" s="36"/>
      <c r="C2" s="36"/>
      <c r="D2" s="36"/>
      <c r="E2" s="36"/>
      <c r="F2" s="36"/>
      <c r="G2" s="36"/>
    </row>
    <row r="4" spans="1:10" x14ac:dyDescent="0.25">
      <c r="B4" s="17" t="s">
        <v>61</v>
      </c>
      <c r="C4" s="17"/>
      <c r="D4" s="37">
        <v>41759</v>
      </c>
      <c r="E4" s="25" t="s">
        <v>54</v>
      </c>
      <c r="F4" s="37">
        <v>41790</v>
      </c>
    </row>
    <row r="6" spans="1:10" x14ac:dyDescent="0.25">
      <c r="B6" s="50" t="s">
        <v>158</v>
      </c>
      <c r="C6" s="50"/>
      <c r="D6" s="50"/>
      <c r="E6" s="50"/>
      <c r="F6" s="49"/>
      <c r="G6" s="49">
        <v>30883.919999999998</v>
      </c>
      <c r="H6" s="64" t="s">
        <v>68</v>
      </c>
      <c r="I6" s="38"/>
    </row>
    <row r="7" spans="1:10" x14ac:dyDescent="0.25">
      <c r="F7" s="38"/>
      <c r="G7" s="38"/>
      <c r="I7" s="38"/>
    </row>
    <row r="8" spans="1:10" x14ac:dyDescent="0.25">
      <c r="B8" s="87" t="s">
        <v>91</v>
      </c>
      <c r="C8" s="44"/>
      <c r="D8" s="44"/>
      <c r="E8" s="44"/>
      <c r="F8" s="39"/>
      <c r="G8" s="39"/>
    </row>
    <row r="9" spans="1:10" x14ac:dyDescent="0.25">
      <c r="A9" s="17"/>
      <c r="B9" s="79" t="s">
        <v>11</v>
      </c>
      <c r="F9" s="38"/>
      <c r="G9" s="42">
        <f>'2013-2014 Budget 31July14'!F12</f>
        <v>213.45</v>
      </c>
    </row>
    <row r="10" spans="1:10" x14ac:dyDescent="0.25">
      <c r="B10" s="79" t="s">
        <v>52</v>
      </c>
      <c r="C10" s="43"/>
      <c r="D10" s="43"/>
      <c r="E10" s="43"/>
      <c r="F10" s="42"/>
      <c r="G10" s="42">
        <f>'2013-2014 Budget 31July14'!F9</f>
        <v>20</v>
      </c>
      <c r="H10" s="64" t="s">
        <v>57</v>
      </c>
      <c r="J10" s="38"/>
    </row>
    <row r="11" spans="1:10" x14ac:dyDescent="0.25">
      <c r="B11" s="79" t="s">
        <v>3</v>
      </c>
      <c r="C11" s="43"/>
      <c r="D11" s="43"/>
      <c r="E11" s="43"/>
      <c r="F11" s="42"/>
      <c r="G11" s="42">
        <f>'2013-2014 Budget 31July14'!F10</f>
        <v>2475.75</v>
      </c>
      <c r="J11" s="38"/>
    </row>
    <row r="12" spans="1:10" x14ac:dyDescent="0.25">
      <c r="B12" s="50" t="s">
        <v>86</v>
      </c>
      <c r="C12" s="59"/>
      <c r="D12" s="59"/>
      <c r="E12" s="59"/>
      <c r="F12" s="58"/>
      <c r="G12" s="49">
        <f>SUM(G11:G11)</f>
        <v>2475.75</v>
      </c>
      <c r="J12" s="38"/>
    </row>
    <row r="13" spans="1:10" x14ac:dyDescent="0.25">
      <c r="A13" s="17"/>
      <c r="B13" s="17"/>
      <c r="F13" s="38"/>
      <c r="G13" s="46"/>
      <c r="J13" s="38"/>
    </row>
    <row r="14" spans="1:10" x14ac:dyDescent="0.25">
      <c r="A14" s="17"/>
      <c r="B14" s="17" t="s">
        <v>90</v>
      </c>
      <c r="F14" s="38"/>
      <c r="G14" s="38"/>
      <c r="J14" s="38"/>
    </row>
    <row r="15" spans="1:10" x14ac:dyDescent="0.25">
      <c r="A15" s="17"/>
      <c r="B15" s="51" t="s">
        <v>92</v>
      </c>
      <c r="C15" s="52"/>
      <c r="D15" s="52"/>
      <c r="E15" s="52"/>
      <c r="F15" s="53"/>
      <c r="G15" s="53"/>
      <c r="H15" s="66"/>
      <c r="J15" s="38"/>
    </row>
    <row r="16" spans="1:10" x14ac:dyDescent="0.25">
      <c r="A16" s="17"/>
      <c r="B16" s="79" t="s">
        <v>7</v>
      </c>
      <c r="C16" s="43"/>
      <c r="D16" s="43"/>
      <c r="E16" s="43"/>
      <c r="F16" s="42"/>
      <c r="G16" s="42">
        <v>368.33</v>
      </c>
      <c r="H16" s="66"/>
      <c r="I16" s="41"/>
    </row>
    <row r="17" spans="1:10" x14ac:dyDescent="0.25">
      <c r="A17" s="17"/>
      <c r="B17" s="79" t="s">
        <v>8</v>
      </c>
      <c r="C17" s="43"/>
      <c r="D17" s="43"/>
      <c r="E17" s="43"/>
      <c r="F17" s="42"/>
      <c r="G17" s="42">
        <f>[1]Sheet1!$F$123+[1]Sheet1!$F$114+[1]Sheet1!$F$117-[1]Sheet1!$N$123</f>
        <v>1000.6500000000001</v>
      </c>
      <c r="J17" s="38"/>
    </row>
    <row r="18" spans="1:10" x14ac:dyDescent="0.25">
      <c r="A18" s="17"/>
      <c r="B18" s="79" t="s">
        <v>148</v>
      </c>
      <c r="C18" s="43"/>
      <c r="D18" s="43"/>
      <c r="E18" s="43"/>
      <c r="F18" s="42"/>
      <c r="G18" s="42">
        <f>[1]Sheet1!$F$116</f>
        <v>283.97000000000003</v>
      </c>
      <c r="J18" s="38"/>
    </row>
    <row r="19" spans="1:10" x14ac:dyDescent="0.25">
      <c r="A19" s="17"/>
      <c r="B19" s="54" t="s">
        <v>15</v>
      </c>
      <c r="C19" s="55"/>
      <c r="D19" s="55"/>
      <c r="E19" s="55"/>
      <c r="F19" s="56"/>
      <c r="G19" s="56"/>
      <c r="J19" s="38"/>
    </row>
    <row r="20" spans="1:10" x14ac:dyDescent="0.25">
      <c r="A20" s="17"/>
      <c r="B20" s="43" t="s">
        <v>81</v>
      </c>
      <c r="C20" s="43"/>
      <c r="D20" s="43"/>
      <c r="E20" s="43"/>
      <c r="F20" s="42"/>
      <c r="G20" s="42">
        <f>[1]Sheet1!$F$120+[1]Sheet1!$F$119+[1]Sheet1!$F$113</f>
        <v>521.5</v>
      </c>
      <c r="J20" s="38"/>
    </row>
    <row r="21" spans="1:10" x14ac:dyDescent="0.25">
      <c r="A21" s="17"/>
      <c r="B21" s="79" t="s">
        <v>88</v>
      </c>
      <c r="C21" s="43"/>
      <c r="D21" s="43"/>
      <c r="E21" s="43"/>
      <c r="F21" s="42"/>
      <c r="G21" s="42">
        <f>[1]Sheet1!$F$122</f>
        <v>3800</v>
      </c>
      <c r="J21" s="38"/>
    </row>
    <row r="22" spans="1:10" x14ac:dyDescent="0.25">
      <c r="A22" s="17"/>
      <c r="B22" s="79" t="s">
        <v>31</v>
      </c>
      <c r="C22" s="43"/>
      <c r="D22" s="43"/>
      <c r="E22" s="43"/>
      <c r="F22" s="42"/>
      <c r="G22" s="42">
        <f>[1]Sheet1!$F$110</f>
        <v>779.04</v>
      </c>
      <c r="J22" s="38"/>
    </row>
    <row r="23" spans="1:10" x14ac:dyDescent="0.25">
      <c r="B23" s="79" t="s">
        <v>162</v>
      </c>
      <c r="C23" s="43"/>
      <c r="D23" s="43"/>
      <c r="E23" s="43"/>
      <c r="F23" s="42"/>
      <c r="G23" s="42">
        <f>[1]Sheet1!$F$124</f>
        <v>161.33000000000001</v>
      </c>
    </row>
    <row r="24" spans="1:10" x14ac:dyDescent="0.25">
      <c r="A24" s="17"/>
      <c r="B24" s="79" t="s">
        <v>18</v>
      </c>
      <c r="C24" s="43"/>
      <c r="D24" s="43"/>
      <c r="E24" s="43"/>
      <c r="F24" s="42"/>
      <c r="G24" s="42">
        <f>[1]Sheet1!$F$121+[1]Sheet1!$F$111+[1]Sheet1!$F$112</f>
        <v>340.95</v>
      </c>
    </row>
    <row r="25" spans="1:10" x14ac:dyDescent="0.25">
      <c r="A25" s="17"/>
      <c r="B25" s="79" t="s">
        <v>19</v>
      </c>
      <c r="C25" s="43"/>
      <c r="D25" s="43"/>
      <c r="E25" s="43"/>
      <c r="F25" s="42"/>
      <c r="G25" s="42">
        <f>[1]Sheet1!$F$109</f>
        <v>404.97</v>
      </c>
      <c r="H25" s="64" t="s">
        <v>58</v>
      </c>
    </row>
    <row r="26" spans="1:10" x14ac:dyDescent="0.25">
      <c r="B26" s="43" t="s">
        <v>128</v>
      </c>
      <c r="C26" s="43"/>
      <c r="D26" s="43"/>
      <c r="E26" s="43"/>
      <c r="F26" s="42"/>
      <c r="G26" s="42">
        <f>[1]Sheet1!$F$115+[1]Sheet1!$F$118</f>
        <v>731</v>
      </c>
    </row>
    <row r="27" spans="1:10" x14ac:dyDescent="0.25">
      <c r="B27" s="50" t="s">
        <v>55</v>
      </c>
      <c r="C27" s="59"/>
      <c r="D27" s="59"/>
      <c r="E27" s="59"/>
      <c r="F27" s="58"/>
      <c r="G27" s="49">
        <f>SUM(G16:G26)</f>
        <v>8391.74</v>
      </c>
      <c r="H27" s="64" t="s">
        <v>62</v>
      </c>
    </row>
    <row r="28" spans="1:10" x14ac:dyDescent="0.25">
      <c r="F28" s="38"/>
      <c r="G28" s="38"/>
      <c r="H28" s="65"/>
    </row>
    <row r="29" spans="1:10" x14ac:dyDescent="0.25">
      <c r="B29" s="50" t="s">
        <v>160</v>
      </c>
      <c r="C29" s="50"/>
      <c r="D29" s="50"/>
      <c r="E29" s="50"/>
      <c r="F29" s="49"/>
      <c r="G29" s="49">
        <f>G6+G12-G27</f>
        <v>24967.93</v>
      </c>
    </row>
    <row r="30" spans="1:10" x14ac:dyDescent="0.25">
      <c r="F30" s="38"/>
      <c r="G30" s="38"/>
    </row>
    <row r="31" spans="1:10" x14ac:dyDescent="0.25">
      <c r="B31" s="17" t="s">
        <v>159</v>
      </c>
      <c r="G31" s="38">
        <v>22492.18</v>
      </c>
      <c r="H31" s="64" t="s">
        <v>59</v>
      </c>
      <c r="I31" s="41"/>
      <c r="J31" s="41"/>
    </row>
    <row r="32" spans="1:10" x14ac:dyDescent="0.25">
      <c r="B32" s="17" t="s">
        <v>106</v>
      </c>
      <c r="G32" s="42">
        <v>0</v>
      </c>
      <c r="I32" s="38"/>
      <c r="J32" s="38"/>
    </row>
    <row r="33" spans="1:10" x14ac:dyDescent="0.25">
      <c r="B33" s="50" t="s">
        <v>109</v>
      </c>
      <c r="C33" s="50"/>
      <c r="D33" s="50"/>
      <c r="E33" s="50"/>
      <c r="F33" s="49"/>
      <c r="G33" s="49">
        <f>G31-G32</f>
        <v>22492.18</v>
      </c>
      <c r="H33" s="64" t="s">
        <v>60</v>
      </c>
    </row>
    <row r="34" spans="1:10" x14ac:dyDescent="0.25">
      <c r="F34" s="38"/>
      <c r="G34" s="38"/>
    </row>
    <row r="35" spans="1:10" x14ac:dyDescent="0.25">
      <c r="A35" s="17"/>
      <c r="B35" s="50" t="s">
        <v>110</v>
      </c>
      <c r="C35" s="50"/>
      <c r="D35" s="50"/>
      <c r="E35" s="50"/>
      <c r="F35" s="49"/>
      <c r="G35" s="49">
        <f>'2013-2014 Budget 31May14'!H41</f>
        <v>177.82000000000107</v>
      </c>
      <c r="H35" s="64" t="s">
        <v>64</v>
      </c>
    </row>
    <row r="36" spans="1:10" x14ac:dyDescent="0.25">
      <c r="B36" s="47"/>
      <c r="C36" s="47"/>
      <c r="D36" s="47"/>
      <c r="E36" s="47"/>
      <c r="F36" s="46"/>
      <c r="G36" s="46"/>
      <c r="I36" s="41"/>
      <c r="J36" s="41"/>
    </row>
    <row r="37" spans="1:10" x14ac:dyDescent="0.25">
      <c r="B37" s="50" t="s">
        <v>120</v>
      </c>
      <c r="C37" s="50"/>
      <c r="D37" s="50"/>
      <c r="E37" s="50"/>
      <c r="F37" s="49"/>
      <c r="G37" s="49">
        <f>-'2013-2014 Budget 31May14'!P44</f>
        <v>-24496.04</v>
      </c>
      <c r="H37" s="64" t="s">
        <v>138</v>
      </c>
      <c r="J37" s="41"/>
    </row>
    <row r="38" spans="1:10" x14ac:dyDescent="0.25">
      <c r="F38" s="38"/>
      <c r="G38" s="38"/>
      <c r="J38" s="41"/>
    </row>
    <row r="39" spans="1:10" ht="13.8" thickBot="1" x14ac:dyDescent="0.3">
      <c r="B39" s="24" t="s">
        <v>56</v>
      </c>
      <c r="C39" s="35"/>
      <c r="D39" s="35"/>
      <c r="E39" s="35"/>
      <c r="F39" s="60"/>
      <c r="G39" s="61">
        <f>G33+G35+G37</f>
        <v>-1826.0400000000009</v>
      </c>
    </row>
    <row r="40" spans="1:10" ht="13.8" thickTop="1" x14ac:dyDescent="0.25">
      <c r="A40" s="17"/>
    </row>
    <row r="42" spans="1:10" x14ac:dyDescent="0.25">
      <c r="I42" s="38"/>
    </row>
    <row r="43" spans="1:10" x14ac:dyDescent="0.25">
      <c r="I43" s="38"/>
    </row>
    <row r="55" spans="1:1" x14ac:dyDescent="0.25">
      <c r="A55" s="17"/>
    </row>
  </sheetData>
  <pageMargins left="0.75" right="0.75" top="1" bottom="1" header="0.5" footer="0.5"/>
  <pageSetup scale="87" orientation="portrait" horizontalDpi="2400" verticalDpi="2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selection activeCell="O6" sqref="O6:O43"/>
    </sheetView>
  </sheetViews>
  <sheetFormatPr defaultColWidth="11.44140625" defaultRowHeight="13.2" x14ac:dyDescent="0.25"/>
  <cols>
    <col min="1" max="1" width="12.109375" style="12" customWidth="1"/>
    <col min="2" max="2" width="31.109375" style="12" bestFit="1" customWidth="1"/>
    <col min="3" max="3" width="9.6640625" style="12" bestFit="1" customWidth="1"/>
    <col min="4" max="4" width="8.6640625" style="12" customWidth="1"/>
    <col min="5" max="5" width="8.88671875" style="12" bestFit="1" customWidth="1"/>
    <col min="6" max="6" width="10.88671875" style="12" bestFit="1" customWidth="1"/>
    <col min="7" max="7" width="8.6640625" style="12" bestFit="1" customWidth="1"/>
    <col min="8" max="8" width="8.6640625" style="12" customWidth="1"/>
    <col min="9" max="9" width="10.33203125" style="12" bestFit="1" customWidth="1"/>
    <col min="10" max="10" width="4.44140625" style="12" customWidth="1"/>
    <col min="11" max="11" width="38.88671875" style="12" bestFit="1" customWidth="1"/>
    <col min="12" max="12" width="10.33203125" style="12" bestFit="1" customWidth="1"/>
    <col min="13" max="13" width="8.88671875" style="12" bestFit="1" customWidth="1"/>
    <col min="14" max="14" width="10.33203125" style="13" bestFit="1" customWidth="1"/>
    <col min="15" max="16" width="8.6640625" style="12" bestFit="1" customWidth="1"/>
    <col min="17" max="17" width="11.44140625" style="12" bestFit="1" customWidth="1"/>
    <col min="18" max="16384" width="11.44140625" style="12"/>
  </cols>
  <sheetData>
    <row r="1" spans="1:18" x14ac:dyDescent="0.25">
      <c r="A1" s="19"/>
      <c r="B1" s="47" t="s">
        <v>161</v>
      </c>
      <c r="C1" s="19"/>
      <c r="D1" s="19"/>
      <c r="E1" s="19"/>
      <c r="F1" s="19"/>
    </row>
    <row r="2" spans="1:18" x14ac:dyDescent="0.25">
      <c r="B2" s="47"/>
      <c r="C2" s="20"/>
      <c r="D2" s="20"/>
      <c r="E2" s="20"/>
      <c r="F2" s="20"/>
      <c r="G2" s="20"/>
      <c r="H2" s="20"/>
      <c r="I2" s="20"/>
      <c r="L2" s="20"/>
      <c r="M2" s="20"/>
      <c r="N2" s="82"/>
      <c r="O2" s="20"/>
      <c r="P2" s="20"/>
      <c r="Q2" s="20"/>
    </row>
    <row r="3" spans="1:18" x14ac:dyDescent="0.25">
      <c r="A3" s="17"/>
      <c r="B3" s="48"/>
      <c r="C3" s="25" t="s">
        <v>134</v>
      </c>
      <c r="D3" s="25" t="s">
        <v>135</v>
      </c>
      <c r="E3" s="25" t="s">
        <v>96</v>
      </c>
      <c r="F3" s="26" t="s">
        <v>94</v>
      </c>
      <c r="G3" s="25" t="s">
        <v>104</v>
      </c>
      <c r="H3" s="69"/>
      <c r="I3" s="25" t="s">
        <v>112</v>
      </c>
      <c r="K3" s="22"/>
      <c r="L3" s="25"/>
      <c r="M3" s="25" t="s">
        <v>96</v>
      </c>
      <c r="N3" s="83" t="s">
        <v>94</v>
      </c>
      <c r="O3" s="25" t="s">
        <v>104</v>
      </c>
      <c r="P3" s="25"/>
      <c r="Q3" s="25" t="s">
        <v>112</v>
      </c>
    </row>
    <row r="4" spans="1:18" x14ac:dyDescent="0.25">
      <c r="B4" s="14" t="s">
        <v>85</v>
      </c>
      <c r="C4" s="28" t="s">
        <v>87</v>
      </c>
      <c r="D4" s="28" t="s">
        <v>87</v>
      </c>
      <c r="E4" s="28" t="s">
        <v>104</v>
      </c>
      <c r="F4" s="28" t="s">
        <v>104</v>
      </c>
      <c r="G4" s="28" t="s">
        <v>95</v>
      </c>
      <c r="H4" s="70" t="s">
        <v>105</v>
      </c>
      <c r="I4" s="28" t="s">
        <v>97</v>
      </c>
      <c r="K4" s="14" t="s">
        <v>99</v>
      </c>
      <c r="L4" s="28" t="s">
        <v>87</v>
      </c>
      <c r="M4" s="28" t="s">
        <v>104</v>
      </c>
      <c r="N4" s="84" t="s">
        <v>104</v>
      </c>
      <c r="O4" s="28" t="s">
        <v>95</v>
      </c>
      <c r="P4" s="28" t="s">
        <v>105</v>
      </c>
      <c r="Q4" s="28" t="s">
        <v>97</v>
      </c>
    </row>
    <row r="5" spans="1:18" x14ac:dyDescent="0.25">
      <c r="B5" s="22" t="s">
        <v>0</v>
      </c>
      <c r="C5" s="23">
        <v>10612</v>
      </c>
      <c r="D5" s="23">
        <f>C5</f>
        <v>10612</v>
      </c>
      <c r="E5" s="23">
        <v>10175.25</v>
      </c>
      <c r="F5" s="23">
        <v>0</v>
      </c>
      <c r="G5" s="23">
        <f>SUM(E5:F5)</f>
        <v>10175.25</v>
      </c>
      <c r="H5" s="30">
        <v>0</v>
      </c>
      <c r="I5" s="23">
        <f>G5-C5</f>
        <v>-436.75</v>
      </c>
      <c r="K5" s="29" t="s">
        <v>16</v>
      </c>
      <c r="L5" s="29"/>
      <c r="M5" s="29"/>
      <c r="N5" s="30"/>
      <c r="O5" s="29"/>
      <c r="P5" s="29"/>
      <c r="Q5" s="30"/>
    </row>
    <row r="6" spans="1:18" x14ac:dyDescent="0.25">
      <c r="B6" s="19" t="s">
        <v>2</v>
      </c>
      <c r="C6" s="16">
        <v>1500</v>
      </c>
      <c r="D6" s="16">
        <f t="shared" ref="D6:D14" si="0">C6</f>
        <v>1500</v>
      </c>
      <c r="E6" s="16">
        <v>1090.33</v>
      </c>
      <c r="F6" s="16">
        <v>0</v>
      </c>
      <c r="G6" s="16">
        <f t="shared" ref="G6:G15" si="1">SUM(E6:F6)</f>
        <v>1090.33</v>
      </c>
      <c r="H6" s="32">
        <v>0</v>
      </c>
      <c r="I6" s="16">
        <f t="shared" ref="I6:I14" si="2">G6-C6</f>
        <v>-409.67000000000007</v>
      </c>
      <c r="K6" s="19" t="s">
        <v>18</v>
      </c>
      <c r="L6" s="16">
        <v>650</v>
      </c>
      <c r="M6" s="16">
        <v>312.5</v>
      </c>
      <c r="N6" s="16">
        <f>'Cash Position as of 31May14'!G24</f>
        <v>340.95</v>
      </c>
      <c r="O6" s="16">
        <f>N6+M6</f>
        <v>653.45000000000005</v>
      </c>
      <c r="P6" s="32">
        <f>L6-O6</f>
        <v>-3.4500000000000455</v>
      </c>
      <c r="Q6" s="16">
        <f>O6-L6</f>
        <v>3.4500000000000455</v>
      </c>
    </row>
    <row r="7" spans="1:18" x14ac:dyDescent="0.25">
      <c r="B7" s="19" t="s">
        <v>82</v>
      </c>
      <c r="C7" s="16">
        <v>5000</v>
      </c>
      <c r="D7" s="16">
        <f t="shared" si="0"/>
        <v>5000</v>
      </c>
      <c r="E7" s="16">
        <v>4954.3999999999996</v>
      </c>
      <c r="F7" s="16">
        <v>0</v>
      </c>
      <c r="G7" s="16">
        <f>SUM(E7:F7)</f>
        <v>4954.3999999999996</v>
      </c>
      <c r="H7" s="32">
        <v>0</v>
      </c>
      <c r="I7" s="16">
        <f t="shared" si="2"/>
        <v>-45.600000000000364</v>
      </c>
      <c r="K7" s="19" t="s">
        <v>19</v>
      </c>
      <c r="L7" s="16">
        <v>500</v>
      </c>
      <c r="M7" s="16">
        <v>0</v>
      </c>
      <c r="N7" s="16">
        <f>'Cash Position as of 31May14'!G25</f>
        <v>404.97</v>
      </c>
      <c r="O7" s="16">
        <f t="shared" ref="O7:O32" si="3">N7+M7</f>
        <v>404.97</v>
      </c>
      <c r="P7" s="32">
        <f t="shared" ref="P7:P32" si="4">L7-O7</f>
        <v>95.029999999999973</v>
      </c>
      <c r="Q7" s="16">
        <f t="shared" ref="Q7:Q32" si="5">O7-L7</f>
        <v>-95.029999999999973</v>
      </c>
    </row>
    <row r="8" spans="1:18" x14ac:dyDescent="0.25">
      <c r="B8" s="19" t="s">
        <v>144</v>
      </c>
      <c r="C8" s="16">
        <v>0</v>
      </c>
      <c r="D8" s="16">
        <v>1032</v>
      </c>
      <c r="E8" s="16">
        <v>1032.25</v>
      </c>
      <c r="F8" s="16">
        <v>0</v>
      </c>
      <c r="G8" s="16">
        <f>SUM(E8:F8)</f>
        <v>1032.25</v>
      </c>
      <c r="H8" s="32">
        <v>0</v>
      </c>
      <c r="I8" s="16">
        <f>G8-D8</f>
        <v>0.25</v>
      </c>
      <c r="K8" s="27" t="s">
        <v>88</v>
      </c>
      <c r="L8" s="16">
        <v>3800</v>
      </c>
      <c r="M8" s="16">
        <v>0</v>
      </c>
      <c r="N8" s="16">
        <f>'Cash Position as of 31May14'!G21</f>
        <v>3800</v>
      </c>
      <c r="O8" s="16">
        <f t="shared" si="3"/>
        <v>3800</v>
      </c>
      <c r="P8" s="32">
        <f t="shared" si="4"/>
        <v>0</v>
      </c>
      <c r="Q8" s="16">
        <f t="shared" si="5"/>
        <v>0</v>
      </c>
    </row>
    <row r="9" spans="1:18" x14ac:dyDescent="0.25">
      <c r="B9" s="19" t="s">
        <v>52</v>
      </c>
      <c r="C9" s="16">
        <v>6700</v>
      </c>
      <c r="D9" s="16">
        <v>8000</v>
      </c>
      <c r="E9" s="16">
        <v>5448.3</v>
      </c>
      <c r="F9" s="16">
        <v>0</v>
      </c>
      <c r="G9" s="16">
        <f t="shared" si="1"/>
        <v>5448.3</v>
      </c>
      <c r="H9" s="32">
        <v>20</v>
      </c>
      <c r="I9" s="16">
        <f>G9-D9</f>
        <v>-2551.6999999999998</v>
      </c>
      <c r="K9" s="31" t="s">
        <v>20</v>
      </c>
      <c r="L9" s="32"/>
      <c r="M9" s="32"/>
      <c r="N9" s="32"/>
      <c r="O9" s="32"/>
      <c r="P9" s="32"/>
      <c r="Q9" s="32"/>
    </row>
    <row r="10" spans="1:18" x14ac:dyDescent="0.25">
      <c r="B10" s="19" t="s">
        <v>3</v>
      </c>
      <c r="C10" s="16">
        <v>14000</v>
      </c>
      <c r="D10" s="16">
        <v>4451</v>
      </c>
      <c r="E10" s="16">
        <v>0</v>
      </c>
      <c r="F10" s="16">
        <v>0</v>
      </c>
      <c r="G10" s="16">
        <f t="shared" si="1"/>
        <v>0</v>
      </c>
      <c r="H10" s="32">
        <f>D10-G10</f>
        <v>4451</v>
      </c>
      <c r="I10" s="16">
        <f>G10-D10</f>
        <v>-4451</v>
      </c>
      <c r="K10" s="27" t="s">
        <v>113</v>
      </c>
      <c r="L10" s="16">
        <v>6200</v>
      </c>
      <c r="M10" s="16">
        <f>1965.09+788.34</f>
        <v>2753.43</v>
      </c>
      <c r="N10" s="16">
        <f>'Cash Position as of 31May14'!G20</f>
        <v>521.5</v>
      </c>
      <c r="O10" s="16">
        <f t="shared" si="3"/>
        <v>3274.93</v>
      </c>
      <c r="P10" s="32">
        <f t="shared" si="4"/>
        <v>2925.07</v>
      </c>
      <c r="Q10" s="16">
        <f t="shared" si="5"/>
        <v>-2925.07</v>
      </c>
    </row>
    <row r="11" spans="1:18" x14ac:dyDescent="0.25">
      <c r="B11" s="19" t="s">
        <v>4</v>
      </c>
      <c r="C11" s="16">
        <v>500</v>
      </c>
      <c r="D11" s="16">
        <f t="shared" si="0"/>
        <v>500</v>
      </c>
      <c r="E11" s="16">
        <v>0</v>
      </c>
      <c r="F11" s="16">
        <v>0</v>
      </c>
      <c r="G11" s="16">
        <f t="shared" si="1"/>
        <v>0</v>
      </c>
      <c r="H11" s="32">
        <f>D11-G11</f>
        <v>500</v>
      </c>
      <c r="I11" s="16">
        <f t="shared" si="2"/>
        <v>-500</v>
      </c>
      <c r="K11" s="31" t="s">
        <v>27</v>
      </c>
      <c r="L11" s="32"/>
      <c r="M11" s="32"/>
      <c r="N11" s="32"/>
      <c r="O11" s="32"/>
      <c r="P11" s="32"/>
      <c r="Q11" s="32"/>
      <c r="R11" s="12" t="s">
        <v>154</v>
      </c>
    </row>
    <row r="12" spans="1:18" x14ac:dyDescent="0.25">
      <c r="B12" s="19" t="s">
        <v>10</v>
      </c>
      <c r="C12" s="16">
        <v>1200</v>
      </c>
      <c r="D12" s="16">
        <f t="shared" si="0"/>
        <v>1200</v>
      </c>
      <c r="E12" s="16">
        <v>699.84999999999991</v>
      </c>
      <c r="F12" s="16">
        <v>0</v>
      </c>
      <c r="G12" s="16">
        <f t="shared" si="1"/>
        <v>699.84999999999991</v>
      </c>
      <c r="H12" s="32">
        <f>D12-G12</f>
        <v>500.15000000000009</v>
      </c>
      <c r="I12" s="16">
        <f t="shared" si="2"/>
        <v>-500.15000000000009</v>
      </c>
      <c r="K12" s="19" t="s">
        <v>21</v>
      </c>
      <c r="L12" s="16">
        <v>1300</v>
      </c>
      <c r="M12" s="16">
        <v>0</v>
      </c>
      <c r="N12" s="16">
        <v>0</v>
      </c>
      <c r="O12" s="16">
        <f t="shared" si="3"/>
        <v>0</v>
      </c>
      <c r="P12" s="32">
        <f t="shared" si="4"/>
        <v>1300</v>
      </c>
      <c r="Q12" s="16">
        <f t="shared" si="5"/>
        <v>-1300</v>
      </c>
    </row>
    <row r="13" spans="1:18" x14ac:dyDescent="0.25">
      <c r="B13" s="19" t="s">
        <v>7</v>
      </c>
      <c r="C13" s="16">
        <v>11500</v>
      </c>
      <c r="D13" s="16">
        <f t="shared" si="0"/>
        <v>11500</v>
      </c>
      <c r="E13" s="16">
        <f>10996.7+16.6</f>
        <v>11013.300000000001</v>
      </c>
      <c r="F13" s="75">
        <v>0</v>
      </c>
      <c r="G13" s="16">
        <f t="shared" si="1"/>
        <v>11013.300000000001</v>
      </c>
      <c r="H13" s="32">
        <v>0</v>
      </c>
      <c r="I13" s="16">
        <f t="shared" si="2"/>
        <v>-486.69999999999891</v>
      </c>
      <c r="K13" s="19" t="s">
        <v>22</v>
      </c>
      <c r="L13" s="16">
        <v>150</v>
      </c>
      <c r="M13" s="16">
        <v>131.32</v>
      </c>
      <c r="N13" s="16">
        <v>0</v>
      </c>
      <c r="O13" s="16">
        <f t="shared" si="3"/>
        <v>131.32</v>
      </c>
      <c r="P13" s="32">
        <f t="shared" si="4"/>
        <v>18.680000000000007</v>
      </c>
      <c r="Q13" s="16">
        <f t="shared" si="5"/>
        <v>-18.680000000000007</v>
      </c>
    </row>
    <row r="14" spans="1:18" x14ac:dyDescent="0.25">
      <c r="A14" s="14"/>
      <c r="B14" s="19" t="s">
        <v>8</v>
      </c>
      <c r="C14" s="16">
        <v>8000</v>
      </c>
      <c r="D14" s="16">
        <f t="shared" si="0"/>
        <v>8000</v>
      </c>
      <c r="E14" s="16">
        <v>8491.0999999999985</v>
      </c>
      <c r="F14" s="16">
        <v>0</v>
      </c>
      <c r="G14" s="16">
        <f t="shared" si="1"/>
        <v>8491.0999999999985</v>
      </c>
      <c r="H14" s="32">
        <v>0</v>
      </c>
      <c r="I14" s="16">
        <f t="shared" si="2"/>
        <v>491.09999999999854</v>
      </c>
      <c r="K14" s="19" t="s">
        <v>24</v>
      </c>
      <c r="L14" s="16">
        <v>0</v>
      </c>
      <c r="M14" s="16">
        <v>0</v>
      </c>
      <c r="N14" s="16">
        <v>0</v>
      </c>
      <c r="O14" s="16">
        <f t="shared" si="3"/>
        <v>0</v>
      </c>
      <c r="P14" s="32">
        <f t="shared" si="4"/>
        <v>0</v>
      </c>
      <c r="Q14" s="16">
        <f t="shared" si="5"/>
        <v>0</v>
      </c>
      <c r="R14" s="12">
        <v>300</v>
      </c>
    </row>
    <row r="15" spans="1:18" x14ac:dyDescent="0.25">
      <c r="B15" s="20" t="s">
        <v>156</v>
      </c>
      <c r="C15" s="21">
        <v>0</v>
      </c>
      <c r="D15" s="21">
        <v>4500</v>
      </c>
      <c r="E15" s="21">
        <v>4500</v>
      </c>
      <c r="F15" s="21">
        <v>0</v>
      </c>
      <c r="G15" s="21">
        <f t="shared" si="1"/>
        <v>4500</v>
      </c>
      <c r="H15" s="71">
        <f>D15-G15</f>
        <v>0</v>
      </c>
      <c r="I15" s="21">
        <f>G15-D15</f>
        <v>0</v>
      </c>
      <c r="K15" s="19" t="s">
        <v>25</v>
      </c>
      <c r="L15" s="16">
        <v>300</v>
      </c>
      <c r="M15" s="16">
        <v>0</v>
      </c>
      <c r="N15" s="16">
        <v>0</v>
      </c>
      <c r="O15" s="16">
        <f t="shared" si="3"/>
        <v>0</v>
      </c>
      <c r="P15" s="32">
        <f t="shared" si="4"/>
        <v>300</v>
      </c>
      <c r="Q15" s="16">
        <f t="shared" si="5"/>
        <v>-300</v>
      </c>
    </row>
    <row r="16" spans="1:18" ht="13.8" thickBot="1" x14ac:dyDescent="0.3">
      <c r="A16" s="14"/>
      <c r="B16" s="67" t="s">
        <v>86</v>
      </c>
      <c r="C16" s="18">
        <f t="shared" ref="C16:I16" si="6">SUM(C5:C15)</f>
        <v>59012</v>
      </c>
      <c r="D16" s="18">
        <f t="shared" si="6"/>
        <v>56295</v>
      </c>
      <c r="E16" s="18">
        <f t="shared" si="6"/>
        <v>47404.78</v>
      </c>
      <c r="F16" s="18">
        <f t="shared" si="6"/>
        <v>0</v>
      </c>
      <c r="G16" s="18">
        <f t="shared" si="6"/>
        <v>47404.78</v>
      </c>
      <c r="H16" s="72">
        <f t="shared" si="6"/>
        <v>5471.15</v>
      </c>
      <c r="I16" s="18">
        <f t="shared" si="6"/>
        <v>-8890.2200000000012</v>
      </c>
      <c r="K16" s="31" t="s">
        <v>26</v>
      </c>
      <c r="L16" s="32"/>
      <c r="M16" s="32"/>
      <c r="N16" s="32"/>
      <c r="O16" s="32"/>
      <c r="P16" s="32"/>
      <c r="Q16" s="32"/>
    </row>
    <row r="17" spans="1:18" ht="13.8" thickTop="1" x14ac:dyDescent="0.25">
      <c r="C17" s="15"/>
      <c r="D17" s="15"/>
      <c r="E17" s="15"/>
      <c r="F17" s="15"/>
      <c r="G17" s="86"/>
      <c r="H17" s="73"/>
      <c r="I17" s="15"/>
      <c r="K17" s="27" t="s">
        <v>111</v>
      </c>
      <c r="L17" s="16">
        <v>5500</v>
      </c>
      <c r="M17" s="16">
        <f>1405.87+499.32</f>
        <v>1905.1899999999998</v>
      </c>
      <c r="N17" s="16">
        <v>0</v>
      </c>
      <c r="O17" s="16">
        <f t="shared" si="3"/>
        <v>1905.1899999999998</v>
      </c>
      <c r="P17" s="32">
        <f t="shared" si="4"/>
        <v>3594.8100000000004</v>
      </c>
      <c r="Q17" s="16">
        <f t="shared" si="5"/>
        <v>-3594.8100000000004</v>
      </c>
    </row>
    <row r="18" spans="1:18" x14ac:dyDescent="0.25">
      <c r="B18" s="17" t="s">
        <v>63</v>
      </c>
      <c r="C18" s="15"/>
      <c r="D18" s="15"/>
      <c r="E18" s="15"/>
      <c r="F18" s="15"/>
      <c r="G18" s="15"/>
      <c r="H18" s="73"/>
      <c r="I18" s="28"/>
      <c r="K18" s="19" t="s">
        <v>28</v>
      </c>
      <c r="L18" s="16">
        <v>1500</v>
      </c>
      <c r="M18" s="16">
        <v>0</v>
      </c>
      <c r="N18" s="16">
        <v>0</v>
      </c>
      <c r="O18" s="16">
        <f t="shared" si="3"/>
        <v>0</v>
      </c>
      <c r="P18" s="32">
        <f t="shared" si="4"/>
        <v>1500</v>
      </c>
      <c r="Q18" s="16">
        <f t="shared" si="5"/>
        <v>-1500</v>
      </c>
    </row>
    <row r="19" spans="1:18" x14ac:dyDescent="0.25">
      <c r="B19" s="22" t="s">
        <v>0</v>
      </c>
      <c r="C19" s="23">
        <v>5071</v>
      </c>
      <c r="D19" s="23">
        <f>C19</f>
        <v>5071</v>
      </c>
      <c r="E19" s="23">
        <v>5416.94</v>
      </c>
      <c r="F19" s="23">
        <v>0</v>
      </c>
      <c r="G19" s="23">
        <f>F19+E19</f>
        <v>5416.94</v>
      </c>
      <c r="H19" s="30">
        <v>0</v>
      </c>
      <c r="I19" s="23">
        <f>G19-C19</f>
        <v>345.9399999999996</v>
      </c>
      <c r="K19" s="19" t="s">
        <v>29</v>
      </c>
      <c r="L19" s="16">
        <v>0</v>
      </c>
      <c r="M19" s="16">
        <v>0</v>
      </c>
      <c r="N19" s="16">
        <v>0</v>
      </c>
      <c r="O19" s="16">
        <f t="shared" si="3"/>
        <v>0</v>
      </c>
      <c r="P19" s="32">
        <f t="shared" si="4"/>
        <v>0</v>
      </c>
      <c r="Q19" s="16">
        <f t="shared" si="5"/>
        <v>0</v>
      </c>
      <c r="R19" s="12">
        <v>1000</v>
      </c>
    </row>
    <row r="20" spans="1:18" x14ac:dyDescent="0.25">
      <c r="B20" s="19" t="s">
        <v>83</v>
      </c>
      <c r="C20" s="16">
        <v>500</v>
      </c>
      <c r="D20" s="16">
        <v>700</v>
      </c>
      <c r="E20" s="16">
        <v>0</v>
      </c>
      <c r="F20" s="16">
        <v>0</v>
      </c>
      <c r="G20" s="16">
        <f t="shared" ref="G20:G26" si="7">F20+E20</f>
        <v>0</v>
      </c>
      <c r="H20" s="32">
        <v>0</v>
      </c>
      <c r="I20" s="16">
        <f t="shared" ref="I20:I25" si="8">G20-C20</f>
        <v>-500</v>
      </c>
      <c r="K20" s="31" t="s">
        <v>30</v>
      </c>
      <c r="L20" s="32"/>
      <c r="M20" s="32"/>
      <c r="N20" s="32"/>
      <c r="O20" s="32"/>
      <c r="P20" s="32"/>
      <c r="Q20" s="32"/>
    </row>
    <row r="21" spans="1:18" x14ac:dyDescent="0.25">
      <c r="B21" s="19" t="s">
        <v>82</v>
      </c>
      <c r="C21" s="16">
        <v>1000</v>
      </c>
      <c r="D21" s="16">
        <f>C21</f>
        <v>1000</v>
      </c>
      <c r="E21" s="16">
        <v>1113.53</v>
      </c>
      <c r="F21" s="16">
        <v>0</v>
      </c>
      <c r="G21" s="16">
        <f t="shared" si="7"/>
        <v>1113.53</v>
      </c>
      <c r="H21" s="32">
        <v>0</v>
      </c>
      <c r="I21" s="16">
        <f t="shared" si="8"/>
        <v>113.52999999999997</v>
      </c>
      <c r="K21" s="19" t="s">
        <v>66</v>
      </c>
      <c r="L21" s="16">
        <v>4300</v>
      </c>
      <c r="M21" s="16">
        <f>1517+870</f>
        <v>2387</v>
      </c>
      <c r="N21" s="16">
        <f>'Cash Position as of 31May14'!G26</f>
        <v>731</v>
      </c>
      <c r="O21" s="16">
        <f t="shared" si="3"/>
        <v>3118</v>
      </c>
      <c r="P21" s="32">
        <f t="shared" si="4"/>
        <v>1182</v>
      </c>
      <c r="Q21" s="16">
        <f t="shared" si="5"/>
        <v>-1182</v>
      </c>
    </row>
    <row r="22" spans="1:18" x14ac:dyDescent="0.25">
      <c r="B22" s="19" t="s">
        <v>52</v>
      </c>
      <c r="C22" s="16">
        <v>700</v>
      </c>
      <c r="D22" s="16">
        <f>C22</f>
        <v>700</v>
      </c>
      <c r="E22" s="16">
        <f>139.65+85.69</f>
        <v>225.34</v>
      </c>
      <c r="F22" s="75">
        <v>0</v>
      </c>
      <c r="G22" s="16">
        <f t="shared" si="7"/>
        <v>225.34</v>
      </c>
      <c r="H22" s="32">
        <v>0</v>
      </c>
      <c r="I22" s="16">
        <f t="shared" si="8"/>
        <v>-474.65999999999997</v>
      </c>
      <c r="K22" s="19" t="s">
        <v>84</v>
      </c>
      <c r="L22" s="16">
        <v>600</v>
      </c>
      <c r="M22" s="16">
        <v>294.56</v>
      </c>
      <c r="N22" s="16">
        <v>0</v>
      </c>
      <c r="O22" s="16">
        <f t="shared" si="3"/>
        <v>294.56</v>
      </c>
      <c r="P22" s="32">
        <f t="shared" si="4"/>
        <v>305.44</v>
      </c>
      <c r="Q22" s="16">
        <f t="shared" si="5"/>
        <v>-305.44</v>
      </c>
    </row>
    <row r="23" spans="1:18" x14ac:dyDescent="0.25">
      <c r="A23" s="13"/>
      <c r="B23" s="19" t="s">
        <v>3</v>
      </c>
      <c r="C23" s="16">
        <v>4000</v>
      </c>
      <c r="D23" s="16">
        <v>2105.25</v>
      </c>
      <c r="E23" s="16">
        <v>0</v>
      </c>
      <c r="F23" s="16">
        <v>0</v>
      </c>
      <c r="G23" s="16">
        <f t="shared" si="7"/>
        <v>0</v>
      </c>
      <c r="H23" s="32">
        <f>D23-G23</f>
        <v>2105.25</v>
      </c>
      <c r="I23" s="16">
        <f t="shared" si="8"/>
        <v>-4000</v>
      </c>
      <c r="J23" s="13"/>
      <c r="K23" s="19" t="s">
        <v>51</v>
      </c>
      <c r="L23" s="16">
        <v>200</v>
      </c>
      <c r="M23" s="16">
        <v>0</v>
      </c>
      <c r="N23" s="16">
        <v>0</v>
      </c>
      <c r="O23" s="16">
        <f t="shared" si="3"/>
        <v>0</v>
      </c>
      <c r="P23" s="32">
        <f t="shared" si="4"/>
        <v>200</v>
      </c>
      <c r="Q23" s="16">
        <f t="shared" si="5"/>
        <v>-200</v>
      </c>
    </row>
    <row r="24" spans="1:18" x14ac:dyDescent="0.25">
      <c r="B24" s="19" t="s">
        <v>9</v>
      </c>
      <c r="C24" s="16">
        <v>10000</v>
      </c>
      <c r="D24" s="16">
        <f>C24</f>
        <v>10000</v>
      </c>
      <c r="E24" s="16">
        <f>4545.58+1204.8</f>
        <v>5750.38</v>
      </c>
      <c r="F24" s="16">
        <f>'Cash Position as of 31May14'!G16</f>
        <v>368.33</v>
      </c>
      <c r="G24" s="16">
        <f t="shared" si="7"/>
        <v>6118.71</v>
      </c>
      <c r="H24" s="32">
        <f>D24-G24</f>
        <v>3881.29</v>
      </c>
      <c r="I24" s="16">
        <f t="shared" si="8"/>
        <v>-3881.29</v>
      </c>
      <c r="K24" s="19" t="s">
        <v>31</v>
      </c>
      <c r="L24" s="16">
        <v>1100</v>
      </c>
      <c r="M24" s="16">
        <v>0</v>
      </c>
      <c r="N24" s="16">
        <f>'Cash Position as of 31May14'!G22</f>
        <v>779.04</v>
      </c>
      <c r="O24" s="16">
        <f t="shared" si="3"/>
        <v>779.04</v>
      </c>
      <c r="P24" s="32">
        <f t="shared" si="4"/>
        <v>320.96000000000004</v>
      </c>
      <c r="Q24" s="16">
        <f t="shared" si="5"/>
        <v>-320.96000000000004</v>
      </c>
    </row>
    <row r="25" spans="1:18" x14ac:dyDescent="0.25">
      <c r="A25" s="14"/>
      <c r="B25" s="19" t="s">
        <v>8</v>
      </c>
      <c r="C25" s="16">
        <v>8000</v>
      </c>
      <c r="D25" s="16">
        <f>C25</f>
        <v>8000</v>
      </c>
      <c r="E25" s="16">
        <f>5648.93+3044.28</f>
        <v>8693.2100000000009</v>
      </c>
      <c r="F25" s="75">
        <v>0</v>
      </c>
      <c r="G25" s="16">
        <f t="shared" si="7"/>
        <v>8693.2100000000009</v>
      </c>
      <c r="H25" s="32">
        <f>D25-G25</f>
        <v>-693.21000000000095</v>
      </c>
      <c r="I25" s="16">
        <f t="shared" si="8"/>
        <v>693.21000000000095</v>
      </c>
      <c r="K25" s="19" t="s">
        <v>32</v>
      </c>
      <c r="L25" s="16">
        <v>500</v>
      </c>
      <c r="M25" s="16">
        <v>0</v>
      </c>
      <c r="N25" s="16">
        <v>0</v>
      </c>
      <c r="O25" s="16">
        <f t="shared" si="3"/>
        <v>0</v>
      </c>
      <c r="P25" s="32">
        <f t="shared" si="4"/>
        <v>500</v>
      </c>
      <c r="Q25" s="16">
        <f t="shared" si="5"/>
        <v>-500</v>
      </c>
    </row>
    <row r="26" spans="1:18" x14ac:dyDescent="0.25">
      <c r="B26" s="20" t="s">
        <v>156</v>
      </c>
      <c r="C26" s="21">
        <v>0</v>
      </c>
      <c r="D26" s="21">
        <v>2779.97</v>
      </c>
      <c r="E26" s="21">
        <v>2496</v>
      </c>
      <c r="F26" s="21">
        <f>'Cash Position as of 31May14'!G18</f>
        <v>283.97000000000003</v>
      </c>
      <c r="G26" s="21">
        <f t="shared" si="7"/>
        <v>2779.9700000000003</v>
      </c>
      <c r="H26" s="71">
        <f>D26-G26</f>
        <v>0</v>
      </c>
      <c r="I26" s="21">
        <f>G26-C26</f>
        <v>2779.9700000000003</v>
      </c>
      <c r="K26" s="19" t="s">
        <v>33</v>
      </c>
      <c r="L26" s="16">
        <v>1000</v>
      </c>
      <c r="M26" s="16">
        <v>0</v>
      </c>
      <c r="N26" s="16">
        <v>0</v>
      </c>
      <c r="O26" s="16">
        <f t="shared" si="3"/>
        <v>0</v>
      </c>
      <c r="P26" s="32">
        <f t="shared" si="4"/>
        <v>1000</v>
      </c>
      <c r="Q26" s="16">
        <f t="shared" si="5"/>
        <v>-1000</v>
      </c>
    </row>
    <row r="27" spans="1:18" ht="13.8" thickBot="1" x14ac:dyDescent="0.3">
      <c r="B27" s="67" t="s">
        <v>55</v>
      </c>
      <c r="C27" s="18">
        <f>SUM(C19:C26)</f>
        <v>29271</v>
      </c>
      <c r="D27" s="18">
        <f t="shared" ref="D27:I27" si="9">SUM(D19:D26)</f>
        <v>30356.22</v>
      </c>
      <c r="E27" s="18">
        <f t="shared" si="9"/>
        <v>23695.4</v>
      </c>
      <c r="F27" s="18">
        <f t="shared" si="9"/>
        <v>652.29999999999995</v>
      </c>
      <c r="G27" s="18">
        <f t="shared" si="9"/>
        <v>24347.700000000004</v>
      </c>
      <c r="H27" s="72">
        <f t="shared" si="9"/>
        <v>5293.329999999999</v>
      </c>
      <c r="I27" s="18">
        <f t="shared" si="9"/>
        <v>-4923.2999999999984</v>
      </c>
      <c r="K27" s="31" t="s">
        <v>34</v>
      </c>
      <c r="L27" s="32"/>
      <c r="M27" s="32"/>
      <c r="N27" s="32"/>
      <c r="O27" s="32"/>
      <c r="P27" s="32"/>
      <c r="Q27" s="32"/>
    </row>
    <row r="28" spans="1:18" ht="13.8" thickTop="1" x14ac:dyDescent="0.25">
      <c r="A28" s="13"/>
      <c r="C28" s="16"/>
      <c r="D28" s="16"/>
      <c r="E28" s="16"/>
      <c r="F28" s="16"/>
      <c r="G28" s="63"/>
      <c r="H28" s="32"/>
      <c r="I28" s="15"/>
      <c r="K28" s="19" t="s">
        <v>116</v>
      </c>
      <c r="L28" s="16">
        <v>86</v>
      </c>
      <c r="M28" s="16">
        <v>0</v>
      </c>
      <c r="N28" s="16">
        <v>0</v>
      </c>
      <c r="O28" s="16">
        <f t="shared" si="3"/>
        <v>0</v>
      </c>
      <c r="P28" s="32">
        <f t="shared" si="4"/>
        <v>86</v>
      </c>
      <c r="Q28" s="16">
        <f t="shared" si="5"/>
        <v>-86</v>
      </c>
    </row>
    <row r="29" spans="1:18" x14ac:dyDescent="0.25">
      <c r="A29" s="14"/>
      <c r="B29" s="14" t="s">
        <v>145</v>
      </c>
      <c r="C29" s="28"/>
      <c r="D29" s="28"/>
      <c r="E29" s="28"/>
      <c r="F29" s="28"/>
      <c r="G29" s="28"/>
      <c r="H29" s="70"/>
      <c r="I29" s="28"/>
      <c r="K29" s="19" t="s">
        <v>117</v>
      </c>
      <c r="L29" s="16">
        <v>250</v>
      </c>
      <c r="M29" s="16">
        <v>63</v>
      </c>
      <c r="N29" s="16">
        <v>0</v>
      </c>
      <c r="O29" s="16">
        <f t="shared" si="3"/>
        <v>63</v>
      </c>
      <c r="P29" s="32">
        <f t="shared" si="4"/>
        <v>187</v>
      </c>
      <c r="Q29" s="16">
        <f t="shared" si="5"/>
        <v>-187</v>
      </c>
    </row>
    <row r="30" spans="1:18" x14ac:dyDescent="0.25">
      <c r="B30" s="22" t="s">
        <v>0</v>
      </c>
      <c r="C30" s="23">
        <f t="shared" ref="C30:D32" si="10">C5-C19</f>
        <v>5541</v>
      </c>
      <c r="D30" s="23">
        <f t="shared" si="10"/>
        <v>5541</v>
      </c>
      <c r="E30" s="23"/>
      <c r="F30" s="23"/>
      <c r="G30" s="23">
        <f t="shared" ref="G30:H32" si="11">G5-G19</f>
        <v>4758.3100000000004</v>
      </c>
      <c r="H30" s="30">
        <f t="shared" si="11"/>
        <v>0</v>
      </c>
      <c r="I30" s="23"/>
      <c r="K30" s="19" t="s">
        <v>133</v>
      </c>
      <c r="L30" s="16">
        <f>'Cash Position as of 31Dec13'!G24</f>
        <v>460.9</v>
      </c>
      <c r="M30" s="16">
        <v>460.9</v>
      </c>
      <c r="N30" s="16">
        <v>0</v>
      </c>
      <c r="O30" s="16">
        <f t="shared" si="3"/>
        <v>460.9</v>
      </c>
      <c r="P30" s="32">
        <f t="shared" si="4"/>
        <v>0</v>
      </c>
      <c r="Q30" s="16">
        <f t="shared" si="5"/>
        <v>0</v>
      </c>
    </row>
    <row r="31" spans="1:18" x14ac:dyDescent="0.25">
      <c r="B31" s="19" t="s">
        <v>2</v>
      </c>
      <c r="C31" s="16">
        <f t="shared" si="10"/>
        <v>1000</v>
      </c>
      <c r="D31" s="16">
        <f t="shared" si="10"/>
        <v>800</v>
      </c>
      <c r="E31" s="16"/>
      <c r="F31" s="16"/>
      <c r="G31" s="16">
        <f t="shared" si="11"/>
        <v>1090.33</v>
      </c>
      <c r="H31" s="32">
        <f t="shared" si="11"/>
        <v>0</v>
      </c>
      <c r="I31" s="16"/>
      <c r="K31" s="27" t="s">
        <v>89</v>
      </c>
      <c r="L31" s="16">
        <v>0</v>
      </c>
      <c r="M31" s="16">
        <v>0</v>
      </c>
      <c r="N31" s="16">
        <v>0</v>
      </c>
      <c r="O31" s="16">
        <f t="shared" si="3"/>
        <v>0</v>
      </c>
      <c r="P31" s="32">
        <f t="shared" si="4"/>
        <v>0</v>
      </c>
      <c r="Q31" s="16">
        <f t="shared" si="5"/>
        <v>0</v>
      </c>
      <c r="R31" s="12">
        <v>800</v>
      </c>
    </row>
    <row r="32" spans="1:18" x14ac:dyDescent="0.25">
      <c r="B32" s="19" t="s">
        <v>82</v>
      </c>
      <c r="C32" s="16">
        <f t="shared" si="10"/>
        <v>4000</v>
      </c>
      <c r="D32" s="16">
        <f t="shared" si="10"/>
        <v>4000</v>
      </c>
      <c r="E32" s="16"/>
      <c r="F32" s="16"/>
      <c r="G32" s="16">
        <f t="shared" si="11"/>
        <v>3840.87</v>
      </c>
      <c r="H32" s="32">
        <f t="shared" si="11"/>
        <v>0</v>
      </c>
      <c r="I32" s="16"/>
      <c r="K32" s="27" t="s">
        <v>153</v>
      </c>
      <c r="L32" s="16">
        <v>2400</v>
      </c>
      <c r="M32" s="16">
        <v>0</v>
      </c>
      <c r="N32" s="16">
        <v>0</v>
      </c>
      <c r="O32" s="16">
        <f t="shared" si="3"/>
        <v>0</v>
      </c>
      <c r="P32" s="32">
        <f t="shared" si="4"/>
        <v>2400</v>
      </c>
      <c r="Q32" s="16">
        <f t="shared" si="5"/>
        <v>-2400</v>
      </c>
      <c r="R32" s="19">
        <v>500</v>
      </c>
    </row>
    <row r="33" spans="1:18" x14ac:dyDescent="0.25">
      <c r="B33" s="19" t="s">
        <v>144</v>
      </c>
      <c r="C33" s="16">
        <f>C8</f>
        <v>0</v>
      </c>
      <c r="D33" s="16">
        <f>D8</f>
        <v>1032</v>
      </c>
      <c r="E33" s="16"/>
      <c r="F33" s="16"/>
      <c r="G33" s="16">
        <f>G8</f>
        <v>1032.25</v>
      </c>
      <c r="H33" s="32">
        <f>H8</f>
        <v>0</v>
      </c>
      <c r="I33" s="16"/>
      <c r="K33" s="31" t="s">
        <v>137</v>
      </c>
      <c r="L33" s="32"/>
      <c r="M33" s="32"/>
      <c r="N33" s="32"/>
      <c r="O33" s="32"/>
      <c r="P33" s="32"/>
      <c r="Q33" s="32"/>
      <c r="R33" s="19"/>
    </row>
    <row r="34" spans="1:18" x14ac:dyDescent="0.25">
      <c r="B34" s="19" t="s">
        <v>52</v>
      </c>
      <c r="C34" s="16">
        <f>C9-C22</f>
        <v>6000</v>
      </c>
      <c r="D34" s="16">
        <f>D9-D22</f>
        <v>7300</v>
      </c>
      <c r="E34" s="16"/>
      <c r="F34" s="16"/>
      <c r="G34" s="16">
        <f>G9-G22</f>
        <v>5222.96</v>
      </c>
      <c r="H34" s="32">
        <f>H9-H22</f>
        <v>20</v>
      </c>
      <c r="I34" s="16"/>
      <c r="K34" s="19" t="s">
        <v>65</v>
      </c>
      <c r="L34" s="16">
        <f>25000-3715.71-6000-10000-5000</f>
        <v>284.29000000000087</v>
      </c>
      <c r="M34" s="16">
        <v>0</v>
      </c>
      <c r="N34" s="16">
        <v>0</v>
      </c>
      <c r="O34" s="16">
        <f>SUM(M34:N34)</f>
        <v>0</v>
      </c>
      <c r="P34" s="32">
        <f>L34-O34</f>
        <v>284.29000000000087</v>
      </c>
      <c r="Q34" s="16">
        <f>O34-L34</f>
        <v>-284.29000000000087</v>
      </c>
      <c r="R34" s="19"/>
    </row>
    <row r="35" spans="1:18" x14ac:dyDescent="0.25">
      <c r="B35" s="19" t="s">
        <v>3</v>
      </c>
      <c r="C35" s="16">
        <f>C10-C23</f>
        <v>10000</v>
      </c>
      <c r="D35" s="16">
        <f>D10-D23</f>
        <v>2345.75</v>
      </c>
      <c r="E35" s="16"/>
      <c r="F35" s="16"/>
      <c r="G35" s="16">
        <f>G10-G23</f>
        <v>0</v>
      </c>
      <c r="H35" s="32">
        <f>H10-H23</f>
        <v>2345.75</v>
      </c>
      <c r="I35" s="16"/>
      <c r="K35" s="19" t="s">
        <v>69</v>
      </c>
      <c r="L35" s="16">
        <v>3000</v>
      </c>
      <c r="M35" s="16">
        <v>3000</v>
      </c>
      <c r="N35" s="16">
        <v>0</v>
      </c>
      <c r="O35" s="16">
        <f t="shared" ref="O35:O43" si="12">SUM(M35:N35)</f>
        <v>3000</v>
      </c>
      <c r="P35" s="32">
        <f t="shared" ref="P35:P43" si="13">L35-O35</f>
        <v>0</v>
      </c>
      <c r="Q35" s="16">
        <f t="shared" ref="Q35:Q43" si="14">O35-L35</f>
        <v>0</v>
      </c>
      <c r="R35" s="19"/>
    </row>
    <row r="36" spans="1:18" x14ac:dyDescent="0.25">
      <c r="B36" s="19" t="s">
        <v>4</v>
      </c>
      <c r="C36" s="16">
        <f>C11</f>
        <v>500</v>
      </c>
      <c r="D36" s="16">
        <f>D11</f>
        <v>500</v>
      </c>
      <c r="E36" s="16"/>
      <c r="F36" s="16"/>
      <c r="G36" s="16">
        <f>G11</f>
        <v>0</v>
      </c>
      <c r="H36" s="32">
        <f>H11</f>
        <v>500</v>
      </c>
      <c r="I36" s="16"/>
      <c r="K36" s="19" t="s">
        <v>71</v>
      </c>
      <c r="L36" s="16">
        <v>2000</v>
      </c>
      <c r="M36" s="16">
        <v>0</v>
      </c>
      <c r="N36" s="16">
        <v>0</v>
      </c>
      <c r="O36" s="16">
        <f t="shared" si="12"/>
        <v>0</v>
      </c>
      <c r="P36" s="32">
        <f t="shared" si="13"/>
        <v>2000</v>
      </c>
      <c r="Q36" s="16">
        <f t="shared" si="14"/>
        <v>-2000</v>
      </c>
      <c r="R36" s="19"/>
    </row>
    <row r="37" spans="1:18" x14ac:dyDescent="0.25">
      <c r="B37" s="19" t="s">
        <v>10</v>
      </c>
      <c r="C37" s="16">
        <f>C12</f>
        <v>1200</v>
      </c>
      <c r="D37" s="16">
        <f>D12</f>
        <v>1200</v>
      </c>
      <c r="E37" s="16"/>
      <c r="F37" s="16"/>
      <c r="G37" s="16">
        <f>G12</f>
        <v>699.84999999999991</v>
      </c>
      <c r="H37" s="32">
        <f>H12</f>
        <v>500.15000000000009</v>
      </c>
      <c r="I37" s="16"/>
      <c r="K37" s="19" t="s">
        <v>70</v>
      </c>
      <c r="L37" s="16">
        <v>600</v>
      </c>
      <c r="M37" s="16">
        <v>575</v>
      </c>
      <c r="N37" s="16">
        <v>0</v>
      </c>
      <c r="O37" s="16">
        <f t="shared" si="12"/>
        <v>575</v>
      </c>
      <c r="P37" s="32">
        <f t="shared" si="13"/>
        <v>25</v>
      </c>
      <c r="Q37" s="16">
        <f t="shared" si="14"/>
        <v>-25</v>
      </c>
      <c r="R37" s="19"/>
    </row>
    <row r="38" spans="1:18" x14ac:dyDescent="0.25">
      <c r="B38" s="19" t="s">
        <v>7</v>
      </c>
      <c r="C38" s="16">
        <f t="shared" ref="C38:D40" si="15">C13-C24</f>
        <v>1500</v>
      </c>
      <c r="D38" s="16">
        <f t="shared" si="15"/>
        <v>1500</v>
      </c>
      <c r="E38" s="16"/>
      <c r="F38" s="16"/>
      <c r="G38" s="16">
        <f t="shared" ref="G38:H40" si="16">G13-G24</f>
        <v>4894.5900000000011</v>
      </c>
      <c r="H38" s="32">
        <f t="shared" si="16"/>
        <v>-3881.29</v>
      </c>
      <c r="I38" s="16"/>
      <c r="K38" s="19" t="s">
        <v>72</v>
      </c>
      <c r="L38" s="16">
        <v>400</v>
      </c>
      <c r="M38" s="16">
        <v>0</v>
      </c>
      <c r="N38" s="16">
        <v>0</v>
      </c>
      <c r="O38" s="16">
        <f t="shared" si="12"/>
        <v>0</v>
      </c>
      <c r="P38" s="32">
        <f t="shared" si="13"/>
        <v>400</v>
      </c>
      <c r="Q38" s="16">
        <f t="shared" si="14"/>
        <v>-400</v>
      </c>
      <c r="R38" s="19"/>
    </row>
    <row r="39" spans="1:18" x14ac:dyDescent="0.25">
      <c r="B39" s="19" t="s">
        <v>8</v>
      </c>
      <c r="C39" s="16">
        <f t="shared" si="15"/>
        <v>0</v>
      </c>
      <c r="D39" s="16">
        <f t="shared" si="15"/>
        <v>0</v>
      </c>
      <c r="E39" s="16"/>
      <c r="F39" s="75"/>
      <c r="G39" s="16">
        <f t="shared" si="16"/>
        <v>-202.1100000000024</v>
      </c>
      <c r="H39" s="32">
        <f t="shared" si="16"/>
        <v>693.21000000000095</v>
      </c>
      <c r="I39" s="16"/>
      <c r="K39" s="19" t="s">
        <v>73</v>
      </c>
      <c r="L39" s="16">
        <v>0</v>
      </c>
      <c r="M39" s="16">
        <v>0</v>
      </c>
      <c r="N39" s="16">
        <v>0</v>
      </c>
      <c r="O39" s="16">
        <f t="shared" si="12"/>
        <v>0</v>
      </c>
      <c r="P39" s="32">
        <f t="shared" si="13"/>
        <v>0</v>
      </c>
      <c r="Q39" s="16">
        <f t="shared" si="14"/>
        <v>0</v>
      </c>
      <c r="R39" s="19">
        <v>500</v>
      </c>
    </row>
    <row r="40" spans="1:18" x14ac:dyDescent="0.25">
      <c r="B40" s="20" t="str">
        <f>B15</f>
        <v>Chess Club</v>
      </c>
      <c r="C40" s="21">
        <f t="shared" si="15"/>
        <v>0</v>
      </c>
      <c r="D40" s="21">
        <f t="shared" si="15"/>
        <v>1720.0300000000002</v>
      </c>
      <c r="E40" s="21"/>
      <c r="F40" s="77"/>
      <c r="G40" s="21">
        <f t="shared" si="16"/>
        <v>1720.0299999999997</v>
      </c>
      <c r="H40" s="71">
        <f t="shared" si="16"/>
        <v>0</v>
      </c>
      <c r="I40" s="21"/>
      <c r="K40" s="19" t="s">
        <v>118</v>
      </c>
      <c r="L40" s="16">
        <v>0</v>
      </c>
      <c r="M40" s="16">
        <v>0</v>
      </c>
      <c r="N40" s="16">
        <v>0</v>
      </c>
      <c r="O40" s="16">
        <f t="shared" si="12"/>
        <v>0</v>
      </c>
      <c r="P40" s="32">
        <f t="shared" si="13"/>
        <v>0</v>
      </c>
      <c r="Q40" s="16">
        <f t="shared" si="14"/>
        <v>0</v>
      </c>
      <c r="R40" s="19">
        <v>100</v>
      </c>
    </row>
    <row r="41" spans="1:18" ht="13.8" thickBot="1" x14ac:dyDescent="0.3">
      <c r="B41" s="67" t="s">
        <v>146</v>
      </c>
      <c r="C41" s="18">
        <f>SUM(C30:C40)</f>
        <v>29741</v>
      </c>
      <c r="D41" s="18">
        <f>SUM(D30:D40)</f>
        <v>25938.78</v>
      </c>
      <c r="E41" s="18"/>
      <c r="F41" s="18"/>
      <c r="G41" s="18">
        <f>SUM(G30:G40)</f>
        <v>23057.079999999994</v>
      </c>
      <c r="H41" s="72">
        <f>SUM(H30:H40)</f>
        <v>177.82000000000107</v>
      </c>
      <c r="I41" s="18"/>
      <c r="K41" s="19" t="s">
        <v>74</v>
      </c>
      <c r="L41" s="16">
        <v>500</v>
      </c>
      <c r="M41" s="16">
        <v>0</v>
      </c>
      <c r="N41" s="16">
        <f>'Cash Position as of 31May14'!G23</f>
        <v>161.33000000000001</v>
      </c>
      <c r="O41" s="16">
        <f t="shared" si="12"/>
        <v>161.33000000000001</v>
      </c>
      <c r="P41" s="32">
        <f t="shared" si="13"/>
        <v>338.66999999999996</v>
      </c>
      <c r="Q41" s="16">
        <f t="shared" si="14"/>
        <v>-338.66999999999996</v>
      </c>
      <c r="R41" s="19"/>
    </row>
    <row r="42" spans="1:18" ht="13.8" thickTop="1" x14ac:dyDescent="0.25">
      <c r="A42" s="19"/>
      <c r="B42" s="74"/>
      <c r="C42" s="57"/>
      <c r="D42" s="57"/>
      <c r="E42" s="57"/>
      <c r="F42" s="57"/>
      <c r="G42" s="57"/>
      <c r="H42" s="57"/>
      <c r="I42" s="57"/>
      <c r="J42" s="19"/>
      <c r="K42" s="19" t="s">
        <v>101</v>
      </c>
      <c r="L42" s="16">
        <v>1000</v>
      </c>
      <c r="M42" s="16">
        <f>303.46+160</f>
        <v>463.46</v>
      </c>
      <c r="N42" s="16">
        <v>0</v>
      </c>
      <c r="O42" s="16">
        <f t="shared" si="12"/>
        <v>463.46</v>
      </c>
      <c r="P42" s="32">
        <f t="shared" si="13"/>
        <v>536.54</v>
      </c>
      <c r="Q42" s="16">
        <f t="shared" si="14"/>
        <v>-536.54</v>
      </c>
      <c r="R42" s="19"/>
    </row>
    <row r="43" spans="1:18" x14ac:dyDescent="0.25">
      <c r="A43" s="19"/>
      <c r="B43" s="17" t="s">
        <v>131</v>
      </c>
      <c r="C43" s="16"/>
      <c r="D43" s="16"/>
      <c r="E43" s="16"/>
      <c r="F43" s="16"/>
      <c r="G43" s="16"/>
      <c r="H43" s="16"/>
      <c r="I43" s="16"/>
      <c r="J43" s="19"/>
      <c r="K43" s="20" t="s">
        <v>1</v>
      </c>
      <c r="L43" s="21">
        <v>5000</v>
      </c>
      <c r="M43" s="21">
        <v>0</v>
      </c>
      <c r="N43" s="21">
        <v>0</v>
      </c>
      <c r="O43" s="21">
        <f t="shared" si="12"/>
        <v>0</v>
      </c>
      <c r="P43" s="71">
        <f t="shared" si="13"/>
        <v>5000</v>
      </c>
      <c r="Q43" s="21">
        <f t="shared" si="14"/>
        <v>-5000</v>
      </c>
      <c r="R43" s="19"/>
    </row>
    <row r="44" spans="1:18" ht="13.8" thickBot="1" x14ac:dyDescent="0.3">
      <c r="A44" s="19"/>
      <c r="B44" s="17" t="s">
        <v>132</v>
      </c>
      <c r="C44" s="16"/>
      <c r="D44" s="16"/>
      <c r="E44" s="16"/>
      <c r="F44" s="16"/>
      <c r="G44" s="16"/>
      <c r="H44" s="16"/>
      <c r="I44" s="16"/>
      <c r="J44" s="19"/>
      <c r="K44" s="68" t="s">
        <v>100</v>
      </c>
      <c r="L44" s="18">
        <f t="shared" ref="L44:Q44" si="17">SUM(L5:L43)</f>
        <v>43581.19</v>
      </c>
      <c r="M44" s="18">
        <f t="shared" si="17"/>
        <v>12346.359999999999</v>
      </c>
      <c r="N44" s="18">
        <f t="shared" si="17"/>
        <v>6738.79</v>
      </c>
      <c r="O44" s="18">
        <f t="shared" si="17"/>
        <v>19085.150000000001</v>
      </c>
      <c r="P44" s="72">
        <f t="shared" si="17"/>
        <v>24496.04</v>
      </c>
      <c r="Q44" s="18">
        <f t="shared" si="17"/>
        <v>-24496.04</v>
      </c>
      <c r="R44" s="19"/>
    </row>
    <row r="45" spans="1:18" ht="13.8" thickTop="1" x14ac:dyDescent="0.25">
      <c r="A45" s="19"/>
      <c r="B45" s="47"/>
      <c r="C45" s="57"/>
      <c r="D45" s="57"/>
      <c r="E45" s="57"/>
      <c r="F45" s="57"/>
      <c r="G45" s="57"/>
      <c r="H45" s="57"/>
      <c r="I45" s="57"/>
      <c r="J45" s="19"/>
      <c r="L45" s="15"/>
      <c r="N45" s="15"/>
      <c r="O45" s="15"/>
      <c r="P45" s="15"/>
      <c r="Q45" s="15"/>
    </row>
    <row r="46" spans="1:18" x14ac:dyDescent="0.25">
      <c r="B46" s="19"/>
      <c r="C46" s="19"/>
      <c r="D46" s="19"/>
      <c r="E46" s="19"/>
      <c r="F46" s="19"/>
      <c r="G46" s="19" t="s">
        <v>98</v>
      </c>
      <c r="H46" s="19"/>
      <c r="I46" s="19"/>
      <c r="K46" s="14"/>
      <c r="L46" s="16"/>
      <c r="N46" s="16"/>
      <c r="O46" s="16"/>
      <c r="P46" s="16"/>
      <c r="Q46" s="16"/>
    </row>
    <row r="47" spans="1:18" x14ac:dyDescent="0.25">
      <c r="G47" s="13"/>
      <c r="H47" s="13"/>
      <c r="K47" s="14"/>
      <c r="L47" s="16"/>
      <c r="M47" s="16"/>
      <c r="N47" s="16"/>
      <c r="O47" s="16"/>
      <c r="P47" s="16"/>
      <c r="Q47" s="16"/>
    </row>
    <row r="48" spans="1:18" x14ac:dyDescent="0.25">
      <c r="K48" s="74"/>
      <c r="L48" s="15"/>
      <c r="M48" s="16"/>
      <c r="N48" s="16"/>
      <c r="O48" s="16"/>
      <c r="P48" s="16"/>
      <c r="Q48" s="16"/>
    </row>
    <row r="49" spans="3:17" x14ac:dyDescent="0.25">
      <c r="C49" s="13"/>
      <c r="D49" s="13"/>
      <c r="E49" s="13"/>
      <c r="H49" s="13"/>
      <c r="K49" s="74"/>
      <c r="L49" s="57"/>
      <c r="M49" s="57"/>
      <c r="N49" s="57"/>
      <c r="O49" s="57"/>
      <c r="P49" s="57"/>
      <c r="Q49" s="57"/>
    </row>
    <row r="50" spans="3:17" x14ac:dyDescent="0.25">
      <c r="M50" s="19"/>
      <c r="N50" s="85"/>
      <c r="O50" s="19"/>
      <c r="P50" s="19"/>
      <c r="Q50" s="19"/>
    </row>
  </sheetData>
  <pageMargins left="0.75" right="0.75" top="1" bottom="1" header="0.5" footer="0.5"/>
  <pageSetup scale="58" orientation="landscape" horizontalDpi="2400" verticalDpi="24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9" zoomScaleNormal="100" workbookViewId="0">
      <selection activeCell="A20" sqref="A20"/>
    </sheetView>
  </sheetViews>
  <sheetFormatPr defaultColWidth="11.44140625" defaultRowHeight="13.2" x14ac:dyDescent="0.25"/>
  <cols>
    <col min="1" max="1" width="12.109375" style="12" customWidth="1"/>
    <col min="2" max="2" width="31.109375" style="12" bestFit="1" customWidth="1"/>
    <col min="3" max="3" width="9.6640625" style="12" bestFit="1" customWidth="1"/>
    <col min="4" max="4" width="8.6640625" style="12" customWidth="1"/>
    <col min="5" max="5" width="8.88671875" style="12" bestFit="1" customWidth="1"/>
    <col min="6" max="6" width="10.88671875" style="12" bestFit="1" customWidth="1"/>
    <col min="7" max="7" width="8.6640625" style="12" bestFit="1" customWidth="1"/>
    <col min="8" max="8" width="8.6640625" style="12" customWidth="1"/>
    <col min="9" max="9" width="10.33203125" style="12" bestFit="1" customWidth="1"/>
    <col min="10" max="10" width="4.44140625" style="12" customWidth="1"/>
    <col min="11" max="11" width="38.88671875" style="12" bestFit="1" customWidth="1"/>
    <col min="12" max="12" width="10.33203125" style="12" bestFit="1" customWidth="1"/>
    <col min="13" max="13" width="8.88671875" style="12" bestFit="1" customWidth="1"/>
    <col min="14" max="14" width="10.33203125" style="12" bestFit="1" customWidth="1"/>
    <col min="15" max="16" width="8.6640625" style="12" bestFit="1" customWidth="1"/>
    <col min="17" max="17" width="11.44140625" style="12" bestFit="1" customWidth="1"/>
    <col min="18" max="16384" width="11.44140625" style="12"/>
  </cols>
  <sheetData>
    <row r="1" spans="1:18" x14ac:dyDescent="0.25">
      <c r="A1" s="19"/>
      <c r="B1" s="47" t="s">
        <v>152</v>
      </c>
      <c r="C1" s="19"/>
      <c r="D1" s="19"/>
      <c r="E1" s="19"/>
      <c r="F1" s="19"/>
    </row>
    <row r="2" spans="1:18" x14ac:dyDescent="0.25">
      <c r="B2" s="47"/>
      <c r="C2" s="20"/>
      <c r="D2" s="20"/>
      <c r="E2" s="20"/>
      <c r="F2" s="20"/>
      <c r="G2" s="20"/>
      <c r="H2" s="20"/>
      <c r="I2" s="20"/>
      <c r="L2" s="20"/>
      <c r="M2" s="20"/>
      <c r="N2" s="20"/>
      <c r="O2" s="20"/>
      <c r="P2" s="20"/>
      <c r="Q2" s="20"/>
    </row>
    <row r="3" spans="1:18" x14ac:dyDescent="0.25">
      <c r="A3" s="17"/>
      <c r="B3" s="48"/>
      <c r="C3" s="25" t="s">
        <v>134</v>
      </c>
      <c r="D3" s="25" t="s">
        <v>135</v>
      </c>
      <c r="E3" s="25" t="s">
        <v>96</v>
      </c>
      <c r="F3" s="26" t="s">
        <v>94</v>
      </c>
      <c r="G3" s="25" t="s">
        <v>104</v>
      </c>
      <c r="H3" s="69"/>
      <c r="I3" s="25" t="s">
        <v>112</v>
      </c>
      <c r="K3" s="22"/>
      <c r="L3" s="25"/>
      <c r="M3" s="25" t="s">
        <v>96</v>
      </c>
      <c r="N3" s="26" t="s">
        <v>94</v>
      </c>
      <c r="O3" s="25" t="s">
        <v>104</v>
      </c>
      <c r="P3" s="25"/>
      <c r="Q3" s="25" t="s">
        <v>112</v>
      </c>
    </row>
    <row r="4" spans="1:18" x14ac:dyDescent="0.25">
      <c r="B4" s="14" t="s">
        <v>85</v>
      </c>
      <c r="C4" s="28" t="s">
        <v>87</v>
      </c>
      <c r="D4" s="28" t="s">
        <v>87</v>
      </c>
      <c r="E4" s="28" t="s">
        <v>104</v>
      </c>
      <c r="F4" s="28" t="s">
        <v>104</v>
      </c>
      <c r="G4" s="28" t="s">
        <v>95</v>
      </c>
      <c r="H4" s="70" t="s">
        <v>105</v>
      </c>
      <c r="I4" s="28" t="s">
        <v>97</v>
      </c>
      <c r="K4" s="14" t="s">
        <v>99</v>
      </c>
      <c r="L4" s="28" t="s">
        <v>87</v>
      </c>
      <c r="M4" s="28" t="s">
        <v>104</v>
      </c>
      <c r="N4" s="28" t="s">
        <v>104</v>
      </c>
      <c r="O4" s="28" t="s">
        <v>95</v>
      </c>
      <c r="P4" s="28" t="s">
        <v>105</v>
      </c>
      <c r="Q4" s="28" t="s">
        <v>97</v>
      </c>
    </row>
    <row r="5" spans="1:18" x14ac:dyDescent="0.25">
      <c r="B5" s="22" t="s">
        <v>0</v>
      </c>
      <c r="C5" s="23">
        <v>10612</v>
      </c>
      <c r="D5" s="23">
        <f>C5</f>
        <v>10612</v>
      </c>
      <c r="E5" s="23">
        <v>10175.25</v>
      </c>
      <c r="F5" s="23">
        <v>0</v>
      </c>
      <c r="G5" s="23">
        <f>SUM(E5:F5)</f>
        <v>10175.25</v>
      </c>
      <c r="H5" s="30">
        <v>0</v>
      </c>
      <c r="I5" s="23">
        <f>G5-C5</f>
        <v>-436.75</v>
      </c>
      <c r="K5" s="29" t="s">
        <v>16</v>
      </c>
      <c r="L5" s="29"/>
      <c r="M5" s="29"/>
      <c r="N5" s="30"/>
      <c r="O5" s="29"/>
      <c r="P5" s="29"/>
      <c r="Q5" s="30"/>
    </row>
    <row r="6" spans="1:18" x14ac:dyDescent="0.25">
      <c r="B6" s="19" t="s">
        <v>2</v>
      </c>
      <c r="C6" s="16">
        <v>1500</v>
      </c>
      <c r="D6" s="16">
        <f t="shared" ref="D6:D14" si="0">C6</f>
        <v>1500</v>
      </c>
      <c r="E6" s="16">
        <v>1090.33</v>
      </c>
      <c r="F6" s="16">
        <v>0</v>
      </c>
      <c r="G6" s="16">
        <f t="shared" ref="G6:G15" si="1">SUM(E6:F6)</f>
        <v>1090.33</v>
      </c>
      <c r="H6" s="32">
        <v>0</v>
      </c>
      <c r="I6" s="16">
        <f t="shared" ref="I6:I14" si="2">G6-C6</f>
        <v>-409.67000000000007</v>
      </c>
      <c r="K6" s="19" t="s">
        <v>18</v>
      </c>
      <c r="L6" s="16">
        <v>650</v>
      </c>
      <c r="M6" s="16">
        <v>0</v>
      </c>
      <c r="N6" s="16">
        <f>'Cash Position as of 30April14'!G26</f>
        <v>312.5</v>
      </c>
      <c r="O6" s="16">
        <f>N6+M6</f>
        <v>312.5</v>
      </c>
      <c r="P6" s="32">
        <f>L6-O6</f>
        <v>337.5</v>
      </c>
      <c r="Q6" s="16">
        <f>O6-L6</f>
        <v>-337.5</v>
      </c>
    </row>
    <row r="7" spans="1:18" x14ac:dyDescent="0.25">
      <c r="B7" s="19" t="s">
        <v>82</v>
      </c>
      <c r="C7" s="16">
        <v>5000</v>
      </c>
      <c r="D7" s="16">
        <f t="shared" si="0"/>
        <v>5000</v>
      </c>
      <c r="E7" s="16">
        <v>4954.3999999999996</v>
      </c>
      <c r="F7" s="16">
        <v>0</v>
      </c>
      <c r="G7" s="16">
        <f>SUM(E7:F7)</f>
        <v>4954.3999999999996</v>
      </c>
      <c r="H7" s="32">
        <v>0</v>
      </c>
      <c r="I7" s="16">
        <f t="shared" si="2"/>
        <v>-45.600000000000364</v>
      </c>
      <c r="K7" s="19" t="s">
        <v>19</v>
      </c>
      <c r="L7" s="16">
        <v>500</v>
      </c>
      <c r="M7" s="16">
        <v>0</v>
      </c>
      <c r="N7" s="16">
        <v>0</v>
      </c>
      <c r="O7" s="16">
        <f t="shared" ref="O7:O32" si="3">N7+M7</f>
        <v>0</v>
      </c>
      <c r="P7" s="32">
        <f t="shared" ref="P7:P32" si="4">L7-O7</f>
        <v>500</v>
      </c>
      <c r="Q7" s="16">
        <f t="shared" ref="Q7:Q32" si="5">O7-L7</f>
        <v>-500</v>
      </c>
    </row>
    <row r="8" spans="1:18" x14ac:dyDescent="0.25">
      <c r="B8" s="19" t="s">
        <v>144</v>
      </c>
      <c r="C8" s="16">
        <v>0</v>
      </c>
      <c r="D8" s="16">
        <v>1032</v>
      </c>
      <c r="E8" s="16">
        <v>1032.25</v>
      </c>
      <c r="F8" s="16">
        <v>0</v>
      </c>
      <c r="G8" s="16">
        <f>SUM(E8:F8)</f>
        <v>1032.25</v>
      </c>
      <c r="H8" s="32">
        <v>0</v>
      </c>
      <c r="I8" s="16">
        <f>G8-D8</f>
        <v>0.25</v>
      </c>
      <c r="K8" s="27" t="s">
        <v>88</v>
      </c>
      <c r="L8" s="16">
        <v>3800</v>
      </c>
      <c r="M8" s="16">
        <v>0</v>
      </c>
      <c r="N8" s="16">
        <v>0</v>
      </c>
      <c r="O8" s="16">
        <f t="shared" si="3"/>
        <v>0</v>
      </c>
      <c r="P8" s="32">
        <f t="shared" si="4"/>
        <v>3800</v>
      </c>
      <c r="Q8" s="16">
        <f t="shared" si="5"/>
        <v>-3800</v>
      </c>
    </row>
    <row r="9" spans="1:18" x14ac:dyDescent="0.25">
      <c r="B9" s="19" t="s">
        <v>52</v>
      </c>
      <c r="C9" s="16">
        <v>6700</v>
      </c>
      <c r="D9" s="16">
        <v>8000</v>
      </c>
      <c r="E9" s="16">
        <v>0</v>
      </c>
      <c r="F9" s="16">
        <f>'Cash Position as of 30April14'!G9</f>
        <v>5448.3</v>
      </c>
      <c r="G9" s="16">
        <f t="shared" si="1"/>
        <v>5448.3</v>
      </c>
      <c r="H9" s="32">
        <v>20</v>
      </c>
      <c r="I9" s="16">
        <f>G9-D9</f>
        <v>-2551.6999999999998</v>
      </c>
      <c r="K9" s="31" t="s">
        <v>20</v>
      </c>
      <c r="L9" s="32"/>
      <c r="M9" s="32"/>
      <c r="N9" s="32"/>
      <c r="O9" s="32"/>
      <c r="P9" s="32"/>
      <c r="Q9" s="32"/>
    </row>
    <row r="10" spans="1:18" x14ac:dyDescent="0.25">
      <c r="B10" s="19" t="s">
        <v>3</v>
      </c>
      <c r="C10" s="16">
        <v>14000</v>
      </c>
      <c r="D10" s="16">
        <v>1075</v>
      </c>
      <c r="E10" s="16">
        <v>0</v>
      </c>
      <c r="F10" s="16">
        <v>0</v>
      </c>
      <c r="G10" s="16">
        <f t="shared" si="1"/>
        <v>0</v>
      </c>
      <c r="H10" s="32">
        <f>D10-G10</f>
        <v>1075</v>
      </c>
      <c r="I10" s="16">
        <f>G10-D10</f>
        <v>-1075</v>
      </c>
      <c r="K10" s="27" t="s">
        <v>113</v>
      </c>
      <c r="L10" s="16">
        <v>6200</v>
      </c>
      <c r="M10" s="16">
        <v>1965.0900000000001</v>
      </c>
      <c r="N10" s="16">
        <f>'Cash Position as of 30April14'!G22</f>
        <v>788.34</v>
      </c>
      <c r="O10" s="16">
        <f t="shared" si="3"/>
        <v>2753.4300000000003</v>
      </c>
      <c r="P10" s="32">
        <f t="shared" si="4"/>
        <v>3446.5699999999997</v>
      </c>
      <c r="Q10" s="16">
        <f t="shared" si="5"/>
        <v>-3446.5699999999997</v>
      </c>
    </row>
    <row r="11" spans="1:18" x14ac:dyDescent="0.25">
      <c r="B11" s="19" t="s">
        <v>4</v>
      </c>
      <c r="C11" s="16">
        <v>500</v>
      </c>
      <c r="D11" s="16">
        <f t="shared" si="0"/>
        <v>500</v>
      </c>
      <c r="E11" s="16">
        <v>0</v>
      </c>
      <c r="F11" s="16">
        <v>0</v>
      </c>
      <c r="G11" s="16">
        <f t="shared" si="1"/>
        <v>0</v>
      </c>
      <c r="H11" s="32">
        <f>D11-G11</f>
        <v>500</v>
      </c>
      <c r="I11" s="16">
        <f t="shared" si="2"/>
        <v>-500</v>
      </c>
      <c r="K11" s="31" t="s">
        <v>27</v>
      </c>
      <c r="L11" s="32"/>
      <c r="M11" s="32"/>
      <c r="N11" s="78"/>
      <c r="O11" s="32"/>
      <c r="P11" s="32"/>
      <c r="Q11" s="32"/>
      <c r="R11" s="12" t="s">
        <v>154</v>
      </c>
    </row>
    <row r="12" spans="1:18" x14ac:dyDescent="0.25">
      <c r="B12" s="19" t="s">
        <v>10</v>
      </c>
      <c r="C12" s="16">
        <v>1200</v>
      </c>
      <c r="D12" s="16">
        <f t="shared" si="0"/>
        <v>1200</v>
      </c>
      <c r="E12" s="16">
        <v>699.84999999999991</v>
      </c>
      <c r="F12" s="16">
        <v>0</v>
      </c>
      <c r="G12" s="16">
        <f t="shared" si="1"/>
        <v>699.84999999999991</v>
      </c>
      <c r="H12" s="32">
        <f>D12-G12</f>
        <v>500.15000000000009</v>
      </c>
      <c r="I12" s="16">
        <f t="shared" si="2"/>
        <v>-500.15000000000009</v>
      </c>
      <c r="K12" s="19" t="s">
        <v>21</v>
      </c>
      <c r="L12" s="16">
        <v>1300</v>
      </c>
      <c r="M12" s="16">
        <v>0</v>
      </c>
      <c r="N12" s="75">
        <v>0</v>
      </c>
      <c r="O12" s="16">
        <f t="shared" si="3"/>
        <v>0</v>
      </c>
      <c r="P12" s="32">
        <f t="shared" si="4"/>
        <v>1300</v>
      </c>
      <c r="Q12" s="16">
        <f t="shared" si="5"/>
        <v>-1300</v>
      </c>
    </row>
    <row r="13" spans="1:18" x14ac:dyDescent="0.25">
      <c r="A13" s="12">
        <f>13522.16-A18</f>
        <v>253.14999999999964</v>
      </c>
      <c r="B13" s="19" t="s">
        <v>7</v>
      </c>
      <c r="C13" s="16">
        <v>11500</v>
      </c>
      <c r="D13" s="16">
        <f t="shared" si="0"/>
        <v>11500</v>
      </c>
      <c r="E13" s="16">
        <v>10996.7</v>
      </c>
      <c r="F13" s="16">
        <f>'Cash Position as of 30April14'!G12+'Cash Position as of 30April14'!G11</f>
        <v>16.599999999999994</v>
      </c>
      <c r="G13" s="16">
        <f t="shared" si="1"/>
        <v>11013.300000000001</v>
      </c>
      <c r="H13" s="32">
        <f>D13-G13</f>
        <v>486.69999999999891</v>
      </c>
      <c r="I13" s="16">
        <f t="shared" si="2"/>
        <v>-486.69999999999891</v>
      </c>
      <c r="K13" s="19" t="s">
        <v>22</v>
      </c>
      <c r="L13" s="16">
        <v>150</v>
      </c>
      <c r="M13" s="16">
        <v>131.32</v>
      </c>
      <c r="N13" s="75">
        <v>0</v>
      </c>
      <c r="O13" s="16">
        <f t="shared" si="3"/>
        <v>131.32</v>
      </c>
      <c r="P13" s="32">
        <f t="shared" si="4"/>
        <v>18.680000000000007</v>
      </c>
      <c r="Q13" s="16">
        <f t="shared" si="5"/>
        <v>-18.680000000000007</v>
      </c>
    </row>
    <row r="14" spans="1:18" x14ac:dyDescent="0.25">
      <c r="A14" s="14"/>
      <c r="B14" s="19" t="s">
        <v>8</v>
      </c>
      <c r="C14" s="16">
        <v>8000</v>
      </c>
      <c r="D14" s="16">
        <f t="shared" si="0"/>
        <v>8000</v>
      </c>
      <c r="E14" s="16">
        <v>8491.0999999999985</v>
      </c>
      <c r="F14" s="16">
        <v>0</v>
      </c>
      <c r="G14" s="16">
        <f t="shared" si="1"/>
        <v>8491.0999999999985</v>
      </c>
      <c r="H14" s="32">
        <v>0</v>
      </c>
      <c r="I14" s="16">
        <f t="shared" si="2"/>
        <v>491.09999999999854</v>
      </c>
      <c r="K14" s="19" t="s">
        <v>24</v>
      </c>
      <c r="L14" s="16">
        <v>0</v>
      </c>
      <c r="M14" s="16">
        <v>0</v>
      </c>
      <c r="N14" s="75">
        <v>0</v>
      </c>
      <c r="O14" s="16">
        <f t="shared" si="3"/>
        <v>0</v>
      </c>
      <c r="P14" s="32">
        <f t="shared" si="4"/>
        <v>0</v>
      </c>
      <c r="Q14" s="16">
        <f t="shared" si="5"/>
        <v>0</v>
      </c>
      <c r="R14" s="12">
        <v>300</v>
      </c>
    </row>
    <row r="15" spans="1:18" x14ac:dyDescent="0.25">
      <c r="B15" s="20" t="s">
        <v>156</v>
      </c>
      <c r="C15" s="21">
        <v>0</v>
      </c>
      <c r="D15" s="21">
        <v>4500</v>
      </c>
      <c r="E15" s="21">
        <v>0</v>
      </c>
      <c r="F15" s="21">
        <f>'Cash Position as of 30April14'!G10</f>
        <v>4500</v>
      </c>
      <c r="G15" s="21">
        <f t="shared" si="1"/>
        <v>4500</v>
      </c>
      <c r="H15" s="71">
        <f>D15-G15</f>
        <v>0</v>
      </c>
      <c r="I15" s="21">
        <f>G15-D15</f>
        <v>0</v>
      </c>
      <c r="K15" s="19" t="s">
        <v>25</v>
      </c>
      <c r="L15" s="16">
        <v>300</v>
      </c>
      <c r="M15" s="16">
        <v>0</v>
      </c>
      <c r="N15" s="75">
        <v>0</v>
      </c>
      <c r="O15" s="16">
        <f t="shared" si="3"/>
        <v>0</v>
      </c>
      <c r="P15" s="32">
        <f t="shared" si="4"/>
        <v>300</v>
      </c>
      <c r="Q15" s="16">
        <f t="shared" si="5"/>
        <v>-300</v>
      </c>
    </row>
    <row r="16" spans="1:18" ht="13.8" thickBot="1" x14ac:dyDescent="0.3">
      <c r="A16" s="14">
        <v>368.33</v>
      </c>
      <c r="B16" s="67" t="s">
        <v>86</v>
      </c>
      <c r="C16" s="18">
        <f t="shared" ref="C16:I16" si="6">SUM(C5:C15)</f>
        <v>59012</v>
      </c>
      <c r="D16" s="18">
        <f t="shared" si="6"/>
        <v>52919</v>
      </c>
      <c r="E16" s="18">
        <f t="shared" si="6"/>
        <v>37439.879999999997</v>
      </c>
      <c r="F16" s="18">
        <f t="shared" si="6"/>
        <v>9964.9000000000015</v>
      </c>
      <c r="G16" s="18">
        <f t="shared" si="6"/>
        <v>47404.78</v>
      </c>
      <c r="H16" s="72">
        <f t="shared" si="6"/>
        <v>2581.849999999999</v>
      </c>
      <c r="I16" s="18">
        <f t="shared" si="6"/>
        <v>-5514.2200000000012</v>
      </c>
      <c r="K16" s="31" t="s">
        <v>26</v>
      </c>
      <c r="L16" s="32"/>
      <c r="M16" s="32"/>
      <c r="N16" s="78"/>
      <c r="O16" s="32"/>
      <c r="P16" s="32"/>
      <c r="Q16" s="32"/>
    </row>
    <row r="17" spans="1:18" ht="13.8" thickTop="1" x14ac:dyDescent="0.25">
      <c r="C17" s="15"/>
      <c r="D17" s="15"/>
      <c r="E17" s="15"/>
      <c r="F17" s="15"/>
      <c r="G17" s="62"/>
      <c r="H17" s="73"/>
      <c r="I17" s="15"/>
      <c r="K17" s="27" t="s">
        <v>111</v>
      </c>
      <c r="L17" s="16">
        <v>5500</v>
      </c>
      <c r="M17" s="16">
        <v>1405.87</v>
      </c>
      <c r="N17" s="16">
        <f>'Cash Position as of 30April14'!G23</f>
        <v>499.32</v>
      </c>
      <c r="O17" s="16">
        <f t="shared" si="3"/>
        <v>1905.1899999999998</v>
      </c>
      <c r="P17" s="32">
        <f t="shared" si="4"/>
        <v>3594.8100000000004</v>
      </c>
      <c r="Q17" s="16">
        <f t="shared" si="5"/>
        <v>-3594.8100000000004</v>
      </c>
    </row>
    <row r="18" spans="1:18" x14ac:dyDescent="0.25">
      <c r="A18" s="12">
        <f>A22-860.66-A16</f>
        <v>13269.01</v>
      </c>
      <c r="B18" s="17" t="s">
        <v>63</v>
      </c>
      <c r="C18" s="15"/>
      <c r="D18" s="15"/>
      <c r="E18" s="15"/>
      <c r="F18" s="15"/>
      <c r="G18" s="15"/>
      <c r="H18" s="73"/>
      <c r="I18" s="28"/>
      <c r="K18" s="19" t="s">
        <v>28</v>
      </c>
      <c r="L18" s="16">
        <v>1500</v>
      </c>
      <c r="M18" s="16">
        <v>0</v>
      </c>
      <c r="N18" s="75">
        <v>0</v>
      </c>
      <c r="O18" s="16">
        <f t="shared" si="3"/>
        <v>0</v>
      </c>
      <c r="P18" s="32">
        <f t="shared" si="4"/>
        <v>1500</v>
      </c>
      <c r="Q18" s="16">
        <f t="shared" si="5"/>
        <v>-1500</v>
      </c>
    </row>
    <row r="19" spans="1:18" x14ac:dyDescent="0.25">
      <c r="B19" s="22" t="s">
        <v>0</v>
      </c>
      <c r="C19" s="23">
        <v>5071</v>
      </c>
      <c r="D19" s="23">
        <f>C19</f>
        <v>5071</v>
      </c>
      <c r="E19" s="23">
        <v>5416.94</v>
      </c>
      <c r="F19" s="23">
        <v>0</v>
      </c>
      <c r="G19" s="23">
        <f>F19+E19</f>
        <v>5416.94</v>
      </c>
      <c r="H19" s="30">
        <v>0</v>
      </c>
      <c r="I19" s="23">
        <f>G19-C19</f>
        <v>345.9399999999996</v>
      </c>
      <c r="K19" s="19" t="s">
        <v>29</v>
      </c>
      <c r="L19" s="16">
        <v>0</v>
      </c>
      <c r="M19" s="16">
        <v>0</v>
      </c>
      <c r="N19" s="75">
        <v>0</v>
      </c>
      <c r="O19" s="16">
        <f t="shared" si="3"/>
        <v>0</v>
      </c>
      <c r="P19" s="32">
        <f t="shared" si="4"/>
        <v>0</v>
      </c>
      <c r="Q19" s="16">
        <f t="shared" si="5"/>
        <v>0</v>
      </c>
      <c r="R19" s="12">
        <v>1000</v>
      </c>
    </row>
    <row r="20" spans="1:18" x14ac:dyDescent="0.25">
      <c r="A20" s="12">
        <v>6857.84</v>
      </c>
      <c r="B20" s="19" t="s">
        <v>83</v>
      </c>
      <c r="C20" s="16">
        <v>500</v>
      </c>
      <c r="D20" s="16">
        <v>700</v>
      </c>
      <c r="E20" s="16">
        <v>0</v>
      </c>
      <c r="F20" s="16">
        <v>0</v>
      </c>
      <c r="G20" s="16">
        <f t="shared" ref="G20:G26" si="7">F20+E20</f>
        <v>0</v>
      </c>
      <c r="H20" s="32">
        <v>0</v>
      </c>
      <c r="I20" s="16">
        <f t="shared" ref="I20:I25" si="8">G20-C20</f>
        <v>-500</v>
      </c>
      <c r="K20" s="31" t="s">
        <v>30</v>
      </c>
      <c r="L20" s="32"/>
      <c r="M20" s="32"/>
      <c r="N20" s="78"/>
      <c r="O20" s="32"/>
      <c r="P20" s="32"/>
      <c r="Q20" s="32"/>
    </row>
    <row r="21" spans="1:18" x14ac:dyDescent="0.25">
      <c r="A21" s="12">
        <v>7640.16</v>
      </c>
      <c r="B21" s="19" t="s">
        <v>82</v>
      </c>
      <c r="C21" s="16">
        <v>1000</v>
      </c>
      <c r="D21" s="16">
        <f>C21</f>
        <v>1000</v>
      </c>
      <c r="E21" s="16">
        <v>1113.53</v>
      </c>
      <c r="F21" s="16">
        <v>0</v>
      </c>
      <c r="G21" s="16">
        <f t="shared" si="7"/>
        <v>1113.53</v>
      </c>
      <c r="H21" s="32">
        <v>0</v>
      </c>
      <c r="I21" s="16">
        <f t="shared" si="8"/>
        <v>113.52999999999997</v>
      </c>
      <c r="K21" s="19" t="s">
        <v>66</v>
      </c>
      <c r="L21" s="16">
        <v>4300</v>
      </c>
      <c r="M21" s="16">
        <v>1517</v>
      </c>
      <c r="N21" s="16">
        <f>'Cash Position as of 30April14'!G28</f>
        <v>870</v>
      </c>
      <c r="O21" s="16">
        <f t="shared" si="3"/>
        <v>2387</v>
      </c>
      <c r="P21" s="32">
        <f t="shared" si="4"/>
        <v>1913</v>
      </c>
      <c r="Q21" s="16">
        <f t="shared" si="5"/>
        <v>-1913</v>
      </c>
    </row>
    <row r="22" spans="1:18" x14ac:dyDescent="0.25">
      <c r="A22" s="12">
        <f>SUM(A20:A21)</f>
        <v>14498</v>
      </c>
      <c r="B22" s="19" t="s">
        <v>52</v>
      </c>
      <c r="C22" s="16">
        <v>700</v>
      </c>
      <c r="D22" s="16">
        <f>C22</f>
        <v>700</v>
      </c>
      <c r="E22" s="16">
        <v>139.65</v>
      </c>
      <c r="F22" s="16">
        <f>'Cash Position as of 30April14'!G19</f>
        <v>85.69</v>
      </c>
      <c r="G22" s="16">
        <f t="shared" si="7"/>
        <v>225.34</v>
      </c>
      <c r="H22" s="32">
        <v>0</v>
      </c>
      <c r="I22" s="16">
        <f t="shared" si="8"/>
        <v>-474.65999999999997</v>
      </c>
      <c r="K22" s="19" t="s">
        <v>84</v>
      </c>
      <c r="L22" s="16">
        <v>600</v>
      </c>
      <c r="M22" s="16">
        <v>0</v>
      </c>
      <c r="N22" s="16">
        <f>'Cash Position as of 30April14'!G24</f>
        <v>294.56</v>
      </c>
      <c r="O22" s="16">
        <f t="shared" si="3"/>
        <v>294.56</v>
      </c>
      <c r="P22" s="32">
        <f t="shared" si="4"/>
        <v>305.44</v>
      </c>
      <c r="Q22" s="16">
        <f t="shared" si="5"/>
        <v>-305.44</v>
      </c>
    </row>
    <row r="23" spans="1:18" x14ac:dyDescent="0.25">
      <c r="A23" s="13">
        <f>G24+G25</f>
        <v>14443.59</v>
      </c>
      <c r="B23" s="19" t="s">
        <v>3</v>
      </c>
      <c r="C23" s="16">
        <v>4000</v>
      </c>
      <c r="D23" s="16">
        <v>1000</v>
      </c>
      <c r="E23" s="16">
        <v>0</v>
      </c>
      <c r="F23" s="16">
        <v>0</v>
      </c>
      <c r="G23" s="16">
        <f t="shared" si="7"/>
        <v>0</v>
      </c>
      <c r="H23" s="32">
        <f>D23-G23</f>
        <v>1000</v>
      </c>
      <c r="I23" s="16">
        <f t="shared" si="8"/>
        <v>-4000</v>
      </c>
      <c r="J23" s="13"/>
      <c r="K23" s="19" t="s">
        <v>51</v>
      </c>
      <c r="L23" s="16">
        <v>200</v>
      </c>
      <c r="M23" s="16">
        <v>0</v>
      </c>
      <c r="N23" s="75">
        <v>0</v>
      </c>
      <c r="O23" s="16">
        <f t="shared" si="3"/>
        <v>0</v>
      </c>
      <c r="P23" s="32">
        <f t="shared" si="4"/>
        <v>200</v>
      </c>
      <c r="Q23" s="16">
        <f t="shared" si="5"/>
        <v>-200</v>
      </c>
    </row>
    <row r="24" spans="1:18" x14ac:dyDescent="0.25">
      <c r="A24" s="12">
        <f>140*6</f>
        <v>840</v>
      </c>
      <c r="B24" s="19" t="s">
        <v>9</v>
      </c>
      <c r="C24" s="16">
        <v>10000</v>
      </c>
      <c r="D24" s="16">
        <f>C24</f>
        <v>10000</v>
      </c>
      <c r="E24" s="16">
        <v>4545.58</v>
      </c>
      <c r="F24" s="16">
        <f>'Cash Position as of 30April14'!G18</f>
        <v>1204.8</v>
      </c>
      <c r="G24" s="16">
        <f t="shared" si="7"/>
        <v>5750.38</v>
      </c>
      <c r="H24" s="32">
        <f>D24-G24</f>
        <v>4249.62</v>
      </c>
      <c r="I24" s="16">
        <f t="shared" si="8"/>
        <v>-4249.62</v>
      </c>
      <c r="K24" s="19" t="s">
        <v>31</v>
      </c>
      <c r="L24" s="16">
        <v>1100</v>
      </c>
      <c r="M24" s="16">
        <v>0</v>
      </c>
      <c r="N24" s="75">
        <v>0</v>
      </c>
      <c r="O24" s="16">
        <f t="shared" si="3"/>
        <v>0</v>
      </c>
      <c r="P24" s="32">
        <f t="shared" si="4"/>
        <v>1100</v>
      </c>
      <c r="Q24" s="16">
        <f t="shared" si="5"/>
        <v>-1100</v>
      </c>
    </row>
    <row r="25" spans="1:18" x14ac:dyDescent="0.25">
      <c r="A25" s="14">
        <f>1300+A24</f>
        <v>2140</v>
      </c>
      <c r="B25" s="19" t="s">
        <v>8</v>
      </c>
      <c r="C25" s="16">
        <v>8000</v>
      </c>
      <c r="D25" s="16">
        <f>C25</f>
        <v>8000</v>
      </c>
      <c r="E25" s="16">
        <v>5648.93</v>
      </c>
      <c r="F25" s="16">
        <f>'Cash Position as of 30April14'!G17</f>
        <v>3044.28</v>
      </c>
      <c r="G25" s="16">
        <f t="shared" si="7"/>
        <v>8693.2100000000009</v>
      </c>
      <c r="H25" s="32">
        <f>D25-G25</f>
        <v>-693.21000000000095</v>
      </c>
      <c r="I25" s="16">
        <f t="shared" si="8"/>
        <v>693.21000000000095</v>
      </c>
      <c r="K25" s="19" t="s">
        <v>32</v>
      </c>
      <c r="L25" s="16">
        <v>500</v>
      </c>
      <c r="M25" s="16">
        <v>0</v>
      </c>
      <c r="N25" s="75">
        <v>0</v>
      </c>
      <c r="O25" s="16">
        <f t="shared" si="3"/>
        <v>0</v>
      </c>
      <c r="P25" s="32">
        <f t="shared" si="4"/>
        <v>500</v>
      </c>
      <c r="Q25" s="16">
        <f t="shared" si="5"/>
        <v>-500</v>
      </c>
    </row>
    <row r="26" spans="1:18" x14ac:dyDescent="0.25">
      <c r="B26" s="20" t="s">
        <v>156</v>
      </c>
      <c r="C26" s="21">
        <v>0</v>
      </c>
      <c r="D26" s="21">
        <v>2779.97</v>
      </c>
      <c r="E26" s="21">
        <v>0</v>
      </c>
      <c r="F26" s="21">
        <f>'Cash Position as of 30April14'!G20</f>
        <v>2496</v>
      </c>
      <c r="G26" s="21">
        <f t="shared" si="7"/>
        <v>2496</v>
      </c>
      <c r="H26" s="71">
        <f>D26-G26</f>
        <v>283.9699999999998</v>
      </c>
      <c r="I26" s="21">
        <f>G26-C26</f>
        <v>2496</v>
      </c>
      <c r="K26" s="19" t="s">
        <v>33</v>
      </c>
      <c r="L26" s="16">
        <v>1000</v>
      </c>
      <c r="M26" s="16">
        <v>0</v>
      </c>
      <c r="N26" s="75">
        <v>0</v>
      </c>
      <c r="O26" s="16">
        <f t="shared" si="3"/>
        <v>0</v>
      </c>
      <c r="P26" s="32">
        <f t="shared" si="4"/>
        <v>1000</v>
      </c>
      <c r="Q26" s="16">
        <f t="shared" si="5"/>
        <v>-1000</v>
      </c>
    </row>
    <row r="27" spans="1:18" ht="13.8" thickBot="1" x14ac:dyDescent="0.3">
      <c r="A27" s="12">
        <f>A24+A21</f>
        <v>8480.16</v>
      </c>
      <c r="B27" s="67" t="s">
        <v>55</v>
      </c>
      <c r="C27" s="18">
        <f>SUM(C19:C26)</f>
        <v>29271</v>
      </c>
      <c r="D27" s="18">
        <f t="shared" ref="D27:I27" si="9">SUM(D19:D26)</f>
        <v>29250.97</v>
      </c>
      <c r="E27" s="18">
        <f t="shared" si="9"/>
        <v>16864.629999999997</v>
      </c>
      <c r="F27" s="18">
        <f t="shared" si="9"/>
        <v>6830.77</v>
      </c>
      <c r="G27" s="18">
        <f t="shared" si="9"/>
        <v>23695.4</v>
      </c>
      <c r="H27" s="72">
        <f t="shared" si="9"/>
        <v>4840.3799999999992</v>
      </c>
      <c r="I27" s="18">
        <f t="shared" si="9"/>
        <v>-5575.6</v>
      </c>
      <c r="K27" s="31" t="s">
        <v>34</v>
      </c>
      <c r="L27" s="32"/>
      <c r="M27" s="32"/>
      <c r="N27" s="78"/>
      <c r="O27" s="32"/>
      <c r="P27" s="32"/>
      <c r="Q27" s="32"/>
    </row>
    <row r="28" spans="1:18" ht="13.8" thickTop="1" x14ac:dyDescent="0.25">
      <c r="A28" s="13">
        <f>A22-A23</f>
        <v>54.409999999999854</v>
      </c>
      <c r="C28" s="16"/>
      <c r="D28" s="16"/>
      <c r="E28" s="16"/>
      <c r="F28" s="16"/>
      <c r="G28" s="63"/>
      <c r="H28" s="32"/>
      <c r="I28" s="15"/>
      <c r="K28" s="19" t="s">
        <v>116</v>
      </c>
      <c r="L28" s="16">
        <v>86</v>
      </c>
      <c r="M28" s="16">
        <v>0</v>
      </c>
      <c r="N28" s="75">
        <v>0</v>
      </c>
      <c r="O28" s="16">
        <f t="shared" si="3"/>
        <v>0</v>
      </c>
      <c r="P28" s="32">
        <f t="shared" si="4"/>
        <v>86</v>
      </c>
      <c r="Q28" s="16">
        <f t="shared" si="5"/>
        <v>-86</v>
      </c>
    </row>
    <row r="29" spans="1:18" x14ac:dyDescent="0.25">
      <c r="A29" s="14"/>
      <c r="B29" s="14" t="s">
        <v>145</v>
      </c>
      <c r="C29" s="28"/>
      <c r="D29" s="28"/>
      <c r="E29" s="28"/>
      <c r="F29" s="28"/>
      <c r="G29" s="28"/>
      <c r="H29" s="70"/>
      <c r="I29" s="28"/>
      <c r="K29" s="19" t="s">
        <v>117</v>
      </c>
      <c r="L29" s="16">
        <v>250</v>
      </c>
      <c r="M29" s="16">
        <v>0</v>
      </c>
      <c r="N29" s="16">
        <f>'Cash Position as of 30April14'!G27</f>
        <v>63</v>
      </c>
      <c r="O29" s="16">
        <f t="shared" si="3"/>
        <v>63</v>
      </c>
      <c r="P29" s="32">
        <f t="shared" si="4"/>
        <v>187</v>
      </c>
      <c r="Q29" s="16">
        <f t="shared" si="5"/>
        <v>-187</v>
      </c>
    </row>
    <row r="30" spans="1:18" x14ac:dyDescent="0.25">
      <c r="B30" s="22" t="s">
        <v>0</v>
      </c>
      <c r="C30" s="23">
        <f t="shared" ref="C30:D32" si="10">C5-C19</f>
        <v>5541</v>
      </c>
      <c r="D30" s="23">
        <f t="shared" si="10"/>
        <v>5541</v>
      </c>
      <c r="E30" s="23"/>
      <c r="F30" s="23"/>
      <c r="G30" s="23">
        <f t="shared" ref="G30:H32" si="11">G5-G19</f>
        <v>4758.3100000000004</v>
      </c>
      <c r="H30" s="30">
        <f t="shared" si="11"/>
        <v>0</v>
      </c>
      <c r="I30" s="23"/>
      <c r="K30" s="19" t="s">
        <v>133</v>
      </c>
      <c r="L30" s="16">
        <f>'Cash Position as of 31Dec13'!G24</f>
        <v>460.9</v>
      </c>
      <c r="M30" s="16">
        <v>460.9</v>
      </c>
      <c r="N30" s="75">
        <v>0</v>
      </c>
      <c r="O30" s="16">
        <f t="shared" si="3"/>
        <v>460.9</v>
      </c>
      <c r="P30" s="32">
        <f t="shared" si="4"/>
        <v>0</v>
      </c>
      <c r="Q30" s="16">
        <f t="shared" si="5"/>
        <v>0</v>
      </c>
    </row>
    <row r="31" spans="1:18" x14ac:dyDescent="0.25">
      <c r="B31" s="19" t="s">
        <v>2</v>
      </c>
      <c r="C31" s="16">
        <f t="shared" si="10"/>
        <v>1000</v>
      </c>
      <c r="D31" s="16">
        <f t="shared" si="10"/>
        <v>800</v>
      </c>
      <c r="E31" s="16"/>
      <c r="F31" s="16"/>
      <c r="G31" s="16">
        <f t="shared" si="11"/>
        <v>1090.33</v>
      </c>
      <c r="H31" s="32">
        <f t="shared" si="11"/>
        <v>0</v>
      </c>
      <c r="I31" s="16"/>
      <c r="K31" s="27" t="s">
        <v>89</v>
      </c>
      <c r="L31" s="16">
        <v>0</v>
      </c>
      <c r="M31" s="16">
        <v>0</v>
      </c>
      <c r="N31" s="75">
        <v>0</v>
      </c>
      <c r="O31" s="16">
        <f t="shared" si="3"/>
        <v>0</v>
      </c>
      <c r="P31" s="32">
        <f t="shared" si="4"/>
        <v>0</v>
      </c>
      <c r="Q31" s="16">
        <f t="shared" si="5"/>
        <v>0</v>
      </c>
      <c r="R31" s="12">
        <v>800</v>
      </c>
    </row>
    <row r="32" spans="1:18" x14ac:dyDescent="0.25">
      <c r="B32" s="19" t="s">
        <v>82</v>
      </c>
      <c r="C32" s="16">
        <f t="shared" si="10"/>
        <v>4000</v>
      </c>
      <c r="D32" s="16">
        <f t="shared" si="10"/>
        <v>4000</v>
      </c>
      <c r="E32" s="16"/>
      <c r="F32" s="16"/>
      <c r="G32" s="16">
        <f t="shared" si="11"/>
        <v>3840.87</v>
      </c>
      <c r="H32" s="32">
        <f t="shared" si="11"/>
        <v>0</v>
      </c>
      <c r="I32" s="16"/>
      <c r="K32" s="27" t="s">
        <v>153</v>
      </c>
      <c r="L32" s="16">
        <v>2400</v>
      </c>
      <c r="M32" s="16">
        <v>0</v>
      </c>
      <c r="N32" s="75">
        <v>0</v>
      </c>
      <c r="O32" s="16">
        <f t="shared" si="3"/>
        <v>0</v>
      </c>
      <c r="P32" s="32">
        <f t="shared" si="4"/>
        <v>2400</v>
      </c>
      <c r="Q32" s="16">
        <f t="shared" si="5"/>
        <v>-2400</v>
      </c>
      <c r="R32" s="19">
        <v>500</v>
      </c>
    </row>
    <row r="33" spans="1:18" x14ac:dyDescent="0.25">
      <c r="B33" s="19" t="s">
        <v>144</v>
      </c>
      <c r="C33" s="16">
        <f>C8</f>
        <v>0</v>
      </c>
      <c r="D33" s="16">
        <f>D8</f>
        <v>1032</v>
      </c>
      <c r="E33" s="16"/>
      <c r="F33" s="16"/>
      <c r="G33" s="16">
        <f>G8</f>
        <v>1032.25</v>
      </c>
      <c r="H33" s="32">
        <f>H8</f>
        <v>0</v>
      </c>
      <c r="I33" s="16"/>
      <c r="K33" s="31" t="s">
        <v>137</v>
      </c>
      <c r="L33" s="32"/>
      <c r="M33" s="32"/>
      <c r="N33" s="78"/>
      <c r="O33" s="32"/>
      <c r="P33" s="32"/>
      <c r="Q33" s="32"/>
      <c r="R33" s="19"/>
    </row>
    <row r="34" spans="1:18" x14ac:dyDescent="0.25">
      <c r="B34" s="19" t="s">
        <v>52</v>
      </c>
      <c r="C34" s="16">
        <f>C9-C22</f>
        <v>6000</v>
      </c>
      <c r="D34" s="16">
        <f>D9-D22</f>
        <v>7300</v>
      </c>
      <c r="E34" s="16"/>
      <c r="F34" s="16"/>
      <c r="G34" s="16">
        <f>G9-G22</f>
        <v>5222.96</v>
      </c>
      <c r="H34" s="32">
        <f>H9-H22</f>
        <v>20</v>
      </c>
      <c r="I34" s="16"/>
      <c r="K34" s="19" t="s">
        <v>65</v>
      </c>
      <c r="L34" s="16">
        <f>25000-3715.71-6000-10000-5000</f>
        <v>284.29000000000087</v>
      </c>
      <c r="M34" s="16">
        <v>0</v>
      </c>
      <c r="N34" s="75">
        <v>0</v>
      </c>
      <c r="O34" s="16">
        <f>SUM(M34:N34)</f>
        <v>0</v>
      </c>
      <c r="P34" s="32">
        <f>L34-O34</f>
        <v>284.29000000000087</v>
      </c>
      <c r="Q34" s="16">
        <f>O34-L34</f>
        <v>-284.29000000000087</v>
      </c>
      <c r="R34" s="19"/>
    </row>
    <row r="35" spans="1:18" x14ac:dyDescent="0.25">
      <c r="B35" s="19" t="s">
        <v>3</v>
      </c>
      <c r="C35" s="16">
        <f>C10-C23</f>
        <v>10000</v>
      </c>
      <c r="D35" s="16">
        <f>D10-D23</f>
        <v>75</v>
      </c>
      <c r="E35" s="16"/>
      <c r="F35" s="16"/>
      <c r="G35" s="16">
        <f>G10-G23</f>
        <v>0</v>
      </c>
      <c r="H35" s="32">
        <f>H10-H23</f>
        <v>75</v>
      </c>
      <c r="I35" s="16"/>
      <c r="K35" s="19" t="s">
        <v>69</v>
      </c>
      <c r="L35" s="16">
        <v>3000</v>
      </c>
      <c r="M35" s="16">
        <v>3000</v>
      </c>
      <c r="N35" s="75">
        <v>0</v>
      </c>
      <c r="O35" s="16">
        <f t="shared" ref="O35:O43" si="12">SUM(M35:N35)</f>
        <v>3000</v>
      </c>
      <c r="P35" s="32">
        <f t="shared" ref="P35:P43" si="13">L35-O35</f>
        <v>0</v>
      </c>
      <c r="Q35" s="16">
        <f t="shared" ref="Q35:Q43" si="14">O35-L35</f>
        <v>0</v>
      </c>
      <c r="R35" s="19"/>
    </row>
    <row r="36" spans="1:18" x14ac:dyDescent="0.25">
      <c r="B36" s="19" t="s">
        <v>4</v>
      </c>
      <c r="C36" s="16">
        <f>C11</f>
        <v>500</v>
      </c>
      <c r="D36" s="16">
        <f>D11</f>
        <v>500</v>
      </c>
      <c r="E36" s="16"/>
      <c r="F36" s="16"/>
      <c r="G36" s="16">
        <f>G11</f>
        <v>0</v>
      </c>
      <c r="H36" s="32">
        <f>H11</f>
        <v>500</v>
      </c>
      <c r="I36" s="16"/>
      <c r="K36" s="19" t="s">
        <v>71</v>
      </c>
      <c r="L36" s="16">
        <v>2000</v>
      </c>
      <c r="M36" s="16">
        <v>0</v>
      </c>
      <c r="N36" s="75">
        <v>0</v>
      </c>
      <c r="O36" s="16">
        <f t="shared" si="12"/>
        <v>0</v>
      </c>
      <c r="P36" s="32">
        <f t="shared" si="13"/>
        <v>2000</v>
      </c>
      <c r="Q36" s="16">
        <f t="shared" si="14"/>
        <v>-2000</v>
      </c>
      <c r="R36" s="19"/>
    </row>
    <row r="37" spans="1:18" x14ac:dyDescent="0.25">
      <c r="B37" s="19" t="s">
        <v>10</v>
      </c>
      <c r="C37" s="16">
        <f>C12</f>
        <v>1200</v>
      </c>
      <c r="D37" s="16">
        <f>D12</f>
        <v>1200</v>
      </c>
      <c r="E37" s="16"/>
      <c r="F37" s="16"/>
      <c r="G37" s="16">
        <f>G12</f>
        <v>699.84999999999991</v>
      </c>
      <c r="H37" s="32">
        <f>H12</f>
        <v>500.15000000000009</v>
      </c>
      <c r="I37" s="16"/>
      <c r="K37" s="19" t="s">
        <v>70</v>
      </c>
      <c r="L37" s="16">
        <v>600</v>
      </c>
      <c r="M37" s="16">
        <v>575</v>
      </c>
      <c r="N37" s="75">
        <v>0</v>
      </c>
      <c r="O37" s="16">
        <f t="shared" si="12"/>
        <v>575</v>
      </c>
      <c r="P37" s="32">
        <f t="shared" si="13"/>
        <v>25</v>
      </c>
      <c r="Q37" s="16">
        <f t="shared" si="14"/>
        <v>-25</v>
      </c>
      <c r="R37" s="19"/>
    </row>
    <row r="38" spans="1:18" x14ac:dyDescent="0.25">
      <c r="B38" s="19" t="s">
        <v>7</v>
      </c>
      <c r="C38" s="16">
        <f t="shared" ref="C38:D40" si="15">C13-C24</f>
        <v>1500</v>
      </c>
      <c r="D38" s="16">
        <f t="shared" si="15"/>
        <v>1500</v>
      </c>
      <c r="E38" s="16"/>
      <c r="F38" s="16"/>
      <c r="G38" s="16">
        <f t="shared" ref="G38:H40" si="16">G13-G24</f>
        <v>5262.920000000001</v>
      </c>
      <c r="H38" s="32">
        <f t="shared" si="16"/>
        <v>-3762.920000000001</v>
      </c>
      <c r="I38" s="16"/>
      <c r="K38" s="19" t="s">
        <v>72</v>
      </c>
      <c r="L38" s="16">
        <v>400</v>
      </c>
      <c r="M38" s="16">
        <v>0</v>
      </c>
      <c r="N38" s="75">
        <v>0</v>
      </c>
      <c r="O38" s="16">
        <f t="shared" si="12"/>
        <v>0</v>
      </c>
      <c r="P38" s="32">
        <f t="shared" si="13"/>
        <v>400</v>
      </c>
      <c r="Q38" s="16">
        <f t="shared" si="14"/>
        <v>-400</v>
      </c>
      <c r="R38" s="19"/>
    </row>
    <row r="39" spans="1:18" x14ac:dyDescent="0.25">
      <c r="B39" s="19" t="s">
        <v>8</v>
      </c>
      <c r="C39" s="16">
        <f t="shared" si="15"/>
        <v>0</v>
      </c>
      <c r="D39" s="16">
        <f t="shared" si="15"/>
        <v>0</v>
      </c>
      <c r="E39" s="16"/>
      <c r="F39" s="75"/>
      <c r="G39" s="16">
        <f t="shared" si="16"/>
        <v>-202.1100000000024</v>
      </c>
      <c r="H39" s="32">
        <f t="shared" si="16"/>
        <v>693.21000000000095</v>
      </c>
      <c r="I39" s="16"/>
      <c r="K39" s="19" t="s">
        <v>73</v>
      </c>
      <c r="L39" s="16">
        <v>0</v>
      </c>
      <c r="M39" s="16">
        <v>0</v>
      </c>
      <c r="N39" s="75">
        <v>0</v>
      </c>
      <c r="O39" s="16">
        <f t="shared" si="12"/>
        <v>0</v>
      </c>
      <c r="P39" s="32">
        <f t="shared" si="13"/>
        <v>0</v>
      </c>
      <c r="Q39" s="16">
        <f t="shared" si="14"/>
        <v>0</v>
      </c>
      <c r="R39" s="19">
        <v>500</v>
      </c>
    </row>
    <row r="40" spans="1:18" x14ac:dyDescent="0.25">
      <c r="B40" s="20" t="str">
        <f>B15</f>
        <v>Chess Club</v>
      </c>
      <c r="C40" s="21">
        <f t="shared" si="15"/>
        <v>0</v>
      </c>
      <c r="D40" s="21">
        <f t="shared" si="15"/>
        <v>1720.0300000000002</v>
      </c>
      <c r="E40" s="21"/>
      <c r="F40" s="77"/>
      <c r="G40" s="21">
        <f t="shared" si="16"/>
        <v>2004</v>
      </c>
      <c r="H40" s="71">
        <f t="shared" si="16"/>
        <v>-283.9699999999998</v>
      </c>
      <c r="I40" s="21"/>
      <c r="K40" s="19" t="s">
        <v>118</v>
      </c>
      <c r="L40" s="16">
        <v>0</v>
      </c>
      <c r="M40" s="16">
        <v>0</v>
      </c>
      <c r="N40" s="75">
        <v>0</v>
      </c>
      <c r="O40" s="16">
        <f t="shared" si="12"/>
        <v>0</v>
      </c>
      <c r="P40" s="32">
        <f t="shared" si="13"/>
        <v>0</v>
      </c>
      <c r="Q40" s="16">
        <f t="shared" si="14"/>
        <v>0</v>
      </c>
      <c r="R40" s="19">
        <v>100</v>
      </c>
    </row>
    <row r="41" spans="1:18" ht="13.8" thickBot="1" x14ac:dyDescent="0.3">
      <c r="B41" s="67" t="s">
        <v>146</v>
      </c>
      <c r="C41" s="18">
        <f>SUM(C30:C40)</f>
        <v>29741</v>
      </c>
      <c r="D41" s="18">
        <f>SUM(D30:D40)</f>
        <v>23668.03</v>
      </c>
      <c r="E41" s="18"/>
      <c r="F41" s="18"/>
      <c r="G41" s="18">
        <f>SUM(G30:G40)</f>
        <v>23709.379999999997</v>
      </c>
      <c r="H41" s="72">
        <f>SUM(H30:H40)</f>
        <v>-2258.5299999999997</v>
      </c>
      <c r="I41" s="18"/>
      <c r="K41" s="19" t="s">
        <v>74</v>
      </c>
      <c r="L41" s="16">
        <v>500</v>
      </c>
      <c r="M41" s="16">
        <v>0</v>
      </c>
      <c r="N41" s="75">
        <v>0</v>
      </c>
      <c r="O41" s="16">
        <f t="shared" si="12"/>
        <v>0</v>
      </c>
      <c r="P41" s="32">
        <f t="shared" si="13"/>
        <v>500</v>
      </c>
      <c r="Q41" s="16">
        <f t="shared" si="14"/>
        <v>-500</v>
      </c>
      <c r="R41" s="19"/>
    </row>
    <row r="42" spans="1:18" ht="13.8" thickTop="1" x14ac:dyDescent="0.25">
      <c r="A42" s="19"/>
      <c r="B42" s="74"/>
      <c r="C42" s="57"/>
      <c r="D42" s="57"/>
      <c r="E42" s="57"/>
      <c r="F42" s="57"/>
      <c r="G42" s="57"/>
      <c r="H42" s="57"/>
      <c r="I42" s="57"/>
      <c r="J42" s="19"/>
      <c r="K42" s="19" t="s">
        <v>101</v>
      </c>
      <c r="L42" s="16">
        <v>1000</v>
      </c>
      <c r="M42" s="16">
        <v>303.45999999999998</v>
      </c>
      <c r="N42" s="16">
        <f>'Cash Position as of 30April14'!G25</f>
        <v>160</v>
      </c>
      <c r="O42" s="16">
        <f t="shared" si="12"/>
        <v>463.46</v>
      </c>
      <c r="P42" s="32">
        <f t="shared" si="13"/>
        <v>536.54</v>
      </c>
      <c r="Q42" s="16">
        <f t="shared" si="14"/>
        <v>-536.54</v>
      </c>
      <c r="R42" s="19"/>
    </row>
    <row r="43" spans="1:18" x14ac:dyDescent="0.25">
      <c r="A43" s="19"/>
      <c r="B43" s="17" t="s">
        <v>131</v>
      </c>
      <c r="C43" s="16"/>
      <c r="D43" s="16"/>
      <c r="E43" s="16"/>
      <c r="F43" s="16"/>
      <c r="G43" s="16"/>
      <c r="H43" s="16"/>
      <c r="I43" s="16"/>
      <c r="J43" s="19"/>
      <c r="K43" s="20" t="s">
        <v>1</v>
      </c>
      <c r="L43" s="21">
        <v>5000</v>
      </c>
      <c r="M43" s="21">
        <v>0</v>
      </c>
      <c r="N43" s="77">
        <v>0</v>
      </c>
      <c r="O43" s="21">
        <f t="shared" si="12"/>
        <v>0</v>
      </c>
      <c r="P43" s="71">
        <f t="shared" si="13"/>
        <v>5000</v>
      </c>
      <c r="Q43" s="21">
        <f t="shared" si="14"/>
        <v>-5000</v>
      </c>
      <c r="R43" s="19"/>
    </row>
    <row r="44" spans="1:18" ht="13.8" thickBot="1" x14ac:dyDescent="0.3">
      <c r="A44" s="19"/>
      <c r="B44" s="17" t="s">
        <v>132</v>
      </c>
      <c r="C44" s="16"/>
      <c r="D44" s="16"/>
      <c r="E44" s="16"/>
      <c r="F44" s="16"/>
      <c r="G44" s="16"/>
      <c r="H44" s="16"/>
      <c r="I44" s="16"/>
      <c r="J44" s="19"/>
      <c r="K44" s="68" t="s">
        <v>100</v>
      </c>
      <c r="L44" s="18">
        <f t="shared" ref="L44:Q44" si="17">SUM(L5:L43)</f>
        <v>43581.19</v>
      </c>
      <c r="M44" s="18">
        <f t="shared" si="17"/>
        <v>9358.64</v>
      </c>
      <c r="N44" s="18">
        <f t="shared" si="17"/>
        <v>2987.72</v>
      </c>
      <c r="O44" s="18">
        <f t="shared" si="17"/>
        <v>12346.36</v>
      </c>
      <c r="P44" s="72">
        <f t="shared" si="17"/>
        <v>31234.83</v>
      </c>
      <c r="Q44" s="18">
        <f t="shared" si="17"/>
        <v>-31234.83</v>
      </c>
      <c r="R44" s="19"/>
    </row>
    <row r="45" spans="1:18" ht="13.8" thickTop="1" x14ac:dyDescent="0.25">
      <c r="A45" s="19"/>
      <c r="B45" s="47"/>
      <c r="C45" s="57"/>
      <c r="D45" s="57"/>
      <c r="E45" s="57"/>
      <c r="F45" s="57"/>
      <c r="G45" s="57"/>
      <c r="H45" s="57"/>
      <c r="I45" s="57"/>
      <c r="J45" s="19"/>
      <c r="L45" s="15"/>
      <c r="N45" s="15"/>
      <c r="O45" s="15"/>
      <c r="P45" s="15"/>
      <c r="Q45" s="15"/>
    </row>
    <row r="46" spans="1:18" x14ac:dyDescent="0.25">
      <c r="B46" s="19"/>
      <c r="C46" s="19"/>
      <c r="D46" s="19"/>
      <c r="E46" s="19"/>
      <c r="F46" s="19"/>
      <c r="G46" s="19" t="s">
        <v>98</v>
      </c>
      <c r="H46" s="19"/>
      <c r="I46" s="19"/>
      <c r="K46" s="14"/>
      <c r="L46" s="16"/>
      <c r="N46" s="16"/>
      <c r="O46" s="16"/>
      <c r="P46" s="16"/>
      <c r="Q46" s="16"/>
    </row>
    <row r="47" spans="1:18" x14ac:dyDescent="0.25">
      <c r="G47" s="13"/>
      <c r="H47" s="13"/>
      <c r="K47" s="14"/>
      <c r="L47" s="16"/>
      <c r="M47" s="16"/>
      <c r="N47" s="16"/>
      <c r="O47" s="16"/>
      <c r="P47" s="16"/>
      <c r="Q47" s="16"/>
    </row>
    <row r="48" spans="1:18" x14ac:dyDescent="0.25">
      <c r="K48" s="74"/>
      <c r="L48" s="15"/>
      <c r="M48" s="16"/>
      <c r="N48" s="16"/>
      <c r="O48" s="16"/>
      <c r="P48" s="16"/>
      <c r="Q48" s="16"/>
    </row>
    <row r="49" spans="3:17" x14ac:dyDescent="0.25">
      <c r="C49" s="13"/>
      <c r="D49" s="13"/>
      <c r="E49" s="13"/>
      <c r="H49" s="13"/>
      <c r="K49" s="74"/>
      <c r="L49" s="57"/>
      <c r="M49" s="57"/>
      <c r="N49" s="57"/>
      <c r="O49" s="57"/>
      <c r="P49" s="57"/>
      <c r="Q49" s="57"/>
    </row>
    <row r="50" spans="3:17" x14ac:dyDescent="0.25">
      <c r="M50" s="19"/>
      <c r="N50" s="19"/>
      <c r="O50" s="19"/>
      <c r="P50" s="19"/>
      <c r="Q50" s="19"/>
    </row>
  </sheetData>
  <pageMargins left="0.75" right="0.75" top="1" bottom="1" header="0.5" footer="0.5"/>
  <pageSetup scale="58" orientation="landscape" horizontalDpi="2400" verticalDpi="24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G37" sqref="G37"/>
    </sheetView>
  </sheetViews>
  <sheetFormatPr defaultColWidth="11.44140625" defaultRowHeight="13.2" x14ac:dyDescent="0.25"/>
  <cols>
    <col min="1" max="1" width="11.44140625" style="33"/>
    <col min="2" max="2" width="16.6640625" style="33" customWidth="1"/>
    <col min="3" max="3" width="1" style="33" customWidth="1"/>
    <col min="4" max="4" width="9.6640625" style="33" bestFit="1" customWidth="1"/>
    <col min="5" max="5" width="2.6640625" style="33" bestFit="1" customWidth="1"/>
    <col min="6" max="6" width="19.44140625" style="33" customWidth="1"/>
    <col min="7" max="7" width="11.5546875" style="33" customWidth="1"/>
    <col min="8" max="8" width="9" style="64" bestFit="1" customWidth="1"/>
    <col min="9" max="9" width="11.44140625" style="33"/>
    <col min="10" max="10" width="11.33203125" style="33" bestFit="1" customWidth="1"/>
    <col min="11" max="16384" width="11.44140625" style="33"/>
  </cols>
  <sheetData>
    <row r="1" spans="1:10" x14ac:dyDescent="0.25">
      <c r="A1" s="36" t="s">
        <v>53</v>
      </c>
      <c r="B1" s="36"/>
      <c r="C1" s="36"/>
      <c r="D1" s="36"/>
      <c r="E1" s="36"/>
      <c r="F1" s="36"/>
      <c r="G1" s="36"/>
    </row>
    <row r="2" spans="1:10" x14ac:dyDescent="0.25">
      <c r="A2" s="36" t="s">
        <v>115</v>
      </c>
      <c r="B2" s="36"/>
      <c r="C2" s="36"/>
      <c r="D2" s="36"/>
      <c r="E2" s="36"/>
      <c r="F2" s="36"/>
      <c r="G2" s="36"/>
    </row>
    <row r="4" spans="1:10" x14ac:dyDescent="0.25">
      <c r="B4" s="17" t="s">
        <v>61</v>
      </c>
      <c r="C4" s="17"/>
      <c r="D4" s="37">
        <v>41698</v>
      </c>
      <c r="E4" s="25" t="s">
        <v>54</v>
      </c>
      <c r="F4" s="37">
        <v>41759</v>
      </c>
    </row>
    <row r="6" spans="1:10" x14ac:dyDescent="0.25">
      <c r="B6" s="50" t="s">
        <v>147</v>
      </c>
      <c r="C6" s="50"/>
      <c r="D6" s="50"/>
      <c r="E6" s="50"/>
      <c r="F6" s="49"/>
      <c r="G6" s="49">
        <v>30737.51</v>
      </c>
      <c r="H6" s="64" t="s">
        <v>68</v>
      </c>
      <c r="I6" s="38"/>
    </row>
    <row r="7" spans="1:10" x14ac:dyDescent="0.25">
      <c r="F7" s="38"/>
      <c r="G7" s="38"/>
      <c r="I7" s="38"/>
    </row>
    <row r="8" spans="1:10" x14ac:dyDescent="0.25">
      <c r="B8" s="17" t="s">
        <v>91</v>
      </c>
      <c r="F8" s="38"/>
      <c r="G8" s="39"/>
    </row>
    <row r="9" spans="1:10" x14ac:dyDescent="0.25">
      <c r="A9" s="17"/>
      <c r="B9" s="80" t="s">
        <v>52</v>
      </c>
      <c r="C9" s="45"/>
      <c r="D9" s="45"/>
      <c r="E9" s="45"/>
      <c r="F9" s="40"/>
      <c r="G9" s="42">
        <f>[1]Sheet1!$D$104+[1]Sheet1!$D$105</f>
        <v>5448.3</v>
      </c>
    </row>
    <row r="10" spans="1:10" x14ac:dyDescent="0.25">
      <c r="A10" s="17"/>
      <c r="B10" s="79" t="s">
        <v>157</v>
      </c>
      <c r="C10" s="43"/>
      <c r="D10" s="43"/>
      <c r="E10" s="43"/>
      <c r="F10" s="42"/>
      <c r="G10" s="42">
        <f>[1]Sheet1!$D$102</f>
        <v>4500</v>
      </c>
      <c r="H10" s="65"/>
    </row>
    <row r="11" spans="1:10" x14ac:dyDescent="0.25">
      <c r="A11" s="17"/>
      <c r="B11" s="79" t="s">
        <v>155</v>
      </c>
      <c r="C11" s="43"/>
      <c r="D11" s="43"/>
      <c r="E11" s="43"/>
      <c r="F11" s="42"/>
      <c r="G11" s="42">
        <f>-23.75*2</f>
        <v>-47.5</v>
      </c>
      <c r="H11" s="65"/>
    </row>
    <row r="12" spans="1:10" x14ac:dyDescent="0.25">
      <c r="B12" s="44" t="s">
        <v>141</v>
      </c>
      <c r="C12" s="44"/>
      <c r="D12" s="44"/>
      <c r="E12" s="44"/>
      <c r="F12" s="39"/>
      <c r="G12" s="39">
        <f>[1]Sheet1!$D$106+[1]Sheet1!$D$103</f>
        <v>64.099999999999994</v>
      </c>
      <c r="I12" s="81"/>
      <c r="J12" s="38"/>
    </row>
    <row r="13" spans="1:10" x14ac:dyDescent="0.25">
      <c r="B13" s="50" t="s">
        <v>86</v>
      </c>
      <c r="C13" s="59"/>
      <c r="D13" s="59"/>
      <c r="E13" s="59"/>
      <c r="F13" s="58"/>
      <c r="G13" s="49">
        <f>SUM(G9:G12)</f>
        <v>9964.9</v>
      </c>
      <c r="H13" s="64" t="s">
        <v>57</v>
      </c>
      <c r="J13" s="38"/>
    </row>
    <row r="14" spans="1:10" x14ac:dyDescent="0.25">
      <c r="B14" s="17"/>
      <c r="F14" s="38"/>
      <c r="G14" s="46"/>
      <c r="J14" s="38"/>
    </row>
    <row r="15" spans="1:10" x14ac:dyDescent="0.25">
      <c r="B15" s="17" t="s">
        <v>90</v>
      </c>
      <c r="F15" s="38"/>
      <c r="G15" s="38"/>
      <c r="J15" s="38"/>
    </row>
    <row r="16" spans="1:10" x14ac:dyDescent="0.25">
      <c r="A16" s="17"/>
      <c r="B16" s="51" t="s">
        <v>92</v>
      </c>
      <c r="C16" s="52"/>
      <c r="D16" s="52"/>
      <c r="E16" s="52"/>
      <c r="F16" s="53"/>
      <c r="G16" s="53"/>
      <c r="J16" s="38"/>
    </row>
    <row r="17" spans="1:10" x14ac:dyDescent="0.25">
      <c r="A17" s="17"/>
      <c r="B17" s="43" t="s">
        <v>76</v>
      </c>
      <c r="C17" s="43"/>
      <c r="D17" s="43"/>
      <c r="E17" s="43"/>
      <c r="F17" s="42"/>
      <c r="G17" s="42">
        <f>[1]Sheet1!$F$81+[1]Sheet1!$F$87+[1]Sheet1!$F$94+[1]Sheet1!$F$101</f>
        <v>3044.28</v>
      </c>
      <c r="J17" s="38"/>
    </row>
    <row r="18" spans="1:10" x14ac:dyDescent="0.25">
      <c r="A18" s="17"/>
      <c r="B18" s="43" t="s">
        <v>7</v>
      </c>
      <c r="C18" s="43"/>
      <c r="D18" s="43"/>
      <c r="E18" s="43"/>
      <c r="F18" s="42"/>
      <c r="G18" s="42">
        <f>[1]Sheet1!$F$82+[1]Sheet1!$F$99</f>
        <v>1204.8</v>
      </c>
      <c r="H18" s="66"/>
      <c r="J18" s="38"/>
    </row>
    <row r="19" spans="1:10" x14ac:dyDescent="0.25">
      <c r="A19" s="17"/>
      <c r="B19" s="43" t="s">
        <v>52</v>
      </c>
      <c r="C19" s="43"/>
      <c r="D19" s="43"/>
      <c r="E19" s="43"/>
      <c r="F19" s="42"/>
      <c r="G19" s="42">
        <f>[1]Sheet1!$F$80+[1]Sheet1!$F$84+[1]Sheet1!$F$85+[1]Sheet1!$F$86</f>
        <v>85.69</v>
      </c>
      <c r="J19" s="38"/>
    </row>
    <row r="20" spans="1:10" x14ac:dyDescent="0.25">
      <c r="A20" s="17"/>
      <c r="B20" s="79" t="s">
        <v>148</v>
      </c>
      <c r="C20" s="43"/>
      <c r="D20" s="43"/>
      <c r="E20" s="43"/>
      <c r="F20" s="42"/>
      <c r="G20" s="42">
        <f>[1]Sheet1!$F$91</f>
        <v>2496</v>
      </c>
      <c r="H20" s="66"/>
      <c r="I20" s="41"/>
    </row>
    <row r="21" spans="1:10" x14ac:dyDescent="0.25">
      <c r="A21" s="17"/>
      <c r="B21" s="54" t="s">
        <v>15</v>
      </c>
      <c r="C21" s="55"/>
      <c r="D21" s="55"/>
      <c r="E21" s="55"/>
      <c r="F21" s="56"/>
      <c r="G21" s="56"/>
      <c r="J21" s="38"/>
    </row>
    <row r="22" spans="1:10" x14ac:dyDescent="0.25">
      <c r="A22" s="17"/>
      <c r="B22" s="43" t="s">
        <v>81</v>
      </c>
      <c r="C22" s="43"/>
      <c r="D22" s="43"/>
      <c r="E22" s="43"/>
      <c r="F22" s="42"/>
      <c r="G22" s="42">
        <f>[1]Sheet1!$F$96+[1]Sheet1!$F$95+[1]Sheet1!$F$90+[1]Sheet1!$F$88</f>
        <v>788.34</v>
      </c>
      <c r="J22" s="38"/>
    </row>
    <row r="23" spans="1:10" x14ac:dyDescent="0.25">
      <c r="A23" s="17"/>
      <c r="B23" s="43" t="str">
        <f>[1]Sheet1!$J$93</f>
        <v>Class Trips</v>
      </c>
      <c r="C23" s="43"/>
      <c r="D23" s="43"/>
      <c r="E23" s="43"/>
      <c r="F23" s="42"/>
      <c r="G23" s="42">
        <f>[1]Sheet1!$F$93</f>
        <v>499.32</v>
      </c>
      <c r="J23" s="38"/>
    </row>
    <row r="24" spans="1:10" x14ac:dyDescent="0.25">
      <c r="A24" s="17"/>
      <c r="B24" s="43" t="str">
        <f>'2013-2014 Budget 30April14'!K22</f>
        <v>Academic Contests - Math (U of W)</v>
      </c>
      <c r="C24" s="43"/>
      <c r="D24" s="43"/>
      <c r="E24" s="43"/>
      <c r="F24" s="42"/>
      <c r="G24" s="42">
        <f>[1]Sheet1!$F$98</f>
        <v>294.56</v>
      </c>
      <c r="J24" s="38"/>
    </row>
    <row r="25" spans="1:10" x14ac:dyDescent="0.25">
      <c r="A25" s="17"/>
      <c r="B25" s="43" t="str">
        <f>[1]Sheet1!$J$97</f>
        <v>Academic Affairs</v>
      </c>
      <c r="C25" s="43"/>
      <c r="D25" s="43"/>
      <c r="E25" s="43"/>
      <c r="F25" s="42"/>
      <c r="G25" s="42">
        <f>[1]Sheet1!$F$97</f>
        <v>160</v>
      </c>
      <c r="J25" s="38"/>
    </row>
    <row r="26" spans="1:10" x14ac:dyDescent="0.25">
      <c r="A26" s="17"/>
      <c r="B26" s="79" t="s">
        <v>18</v>
      </c>
      <c r="C26" s="43"/>
      <c r="D26" s="43"/>
      <c r="E26" s="43"/>
      <c r="F26" s="42"/>
      <c r="G26" s="42">
        <f>[1]Sheet1!$F$100</f>
        <v>312.5</v>
      </c>
      <c r="J26" s="38"/>
    </row>
    <row r="27" spans="1:10" x14ac:dyDescent="0.25">
      <c r="B27" s="79" t="s">
        <v>149</v>
      </c>
      <c r="C27" s="43"/>
      <c r="D27" s="43"/>
      <c r="E27" s="43"/>
      <c r="F27" s="42"/>
      <c r="G27" s="42">
        <f>[1]Sheet1!$F$107+12</f>
        <v>63</v>
      </c>
    </row>
    <row r="28" spans="1:10" x14ac:dyDescent="0.25">
      <c r="A28" s="17"/>
      <c r="B28" s="43" t="s">
        <v>128</v>
      </c>
      <c r="C28" s="43"/>
      <c r="D28" s="43"/>
      <c r="E28" s="43"/>
      <c r="F28" s="42"/>
      <c r="G28" s="42">
        <f>[1]Sheet1!$F$92+[1]Sheet1!$F$89+[1]Sheet1!$F$83</f>
        <v>870</v>
      </c>
    </row>
    <row r="29" spans="1:10" x14ac:dyDescent="0.25">
      <c r="A29" s="17"/>
      <c r="B29" s="50" t="s">
        <v>55</v>
      </c>
      <c r="C29" s="59"/>
      <c r="D29" s="59"/>
      <c r="E29" s="59"/>
      <c r="F29" s="58"/>
      <c r="G29" s="49">
        <f>SUM(G17:G28)</f>
        <v>9818.49</v>
      </c>
      <c r="H29" s="64" t="s">
        <v>58</v>
      </c>
    </row>
    <row r="30" spans="1:10" x14ac:dyDescent="0.25">
      <c r="F30" s="38"/>
      <c r="G30" s="38"/>
    </row>
    <row r="31" spans="1:10" x14ac:dyDescent="0.25">
      <c r="B31" s="50" t="s">
        <v>150</v>
      </c>
      <c r="C31" s="50"/>
      <c r="D31" s="50"/>
      <c r="E31" s="50"/>
      <c r="F31" s="49"/>
      <c r="G31" s="49">
        <f>G6+G13-G29</f>
        <v>30883.919999999998</v>
      </c>
      <c r="H31" s="64" t="s">
        <v>62</v>
      </c>
    </row>
    <row r="32" spans="1:10" x14ac:dyDescent="0.25">
      <c r="F32" s="38"/>
      <c r="G32" s="38"/>
      <c r="H32" s="65"/>
    </row>
    <row r="33" spans="1:10" x14ac:dyDescent="0.25">
      <c r="B33" s="17" t="s">
        <v>151</v>
      </c>
      <c r="G33" s="38">
        <v>30883.919999999998</v>
      </c>
    </row>
    <row r="34" spans="1:10" x14ac:dyDescent="0.25">
      <c r="B34" s="17" t="s">
        <v>106</v>
      </c>
      <c r="G34" s="42">
        <v>0</v>
      </c>
    </row>
    <row r="35" spans="1:10" x14ac:dyDescent="0.25">
      <c r="B35" s="50" t="s">
        <v>109</v>
      </c>
      <c r="C35" s="50"/>
      <c r="D35" s="50"/>
      <c r="E35" s="50"/>
      <c r="F35" s="49"/>
      <c r="G35" s="49">
        <f>G33-G34</f>
        <v>30883.919999999998</v>
      </c>
      <c r="H35" s="64" t="s">
        <v>59</v>
      </c>
      <c r="I35" s="41"/>
      <c r="J35" s="41"/>
    </row>
    <row r="36" spans="1:10" x14ac:dyDescent="0.25">
      <c r="F36" s="38"/>
      <c r="G36" s="38"/>
      <c r="I36" s="38"/>
      <c r="J36" s="38"/>
    </row>
    <row r="37" spans="1:10" x14ac:dyDescent="0.25">
      <c r="B37" s="50" t="s">
        <v>110</v>
      </c>
      <c r="C37" s="50"/>
      <c r="D37" s="50"/>
      <c r="E37" s="50"/>
      <c r="F37" s="49"/>
      <c r="G37" s="49">
        <f>'2013-2014 Budget 30April14'!H41</f>
        <v>-2258.5299999999997</v>
      </c>
      <c r="H37" s="64" t="s">
        <v>60</v>
      </c>
    </row>
    <row r="38" spans="1:10" x14ac:dyDescent="0.25">
      <c r="B38" s="47"/>
      <c r="C38" s="47"/>
      <c r="D38" s="47"/>
      <c r="E38" s="47"/>
      <c r="F38" s="46"/>
      <c r="G38" s="46"/>
    </row>
    <row r="39" spans="1:10" x14ac:dyDescent="0.25">
      <c r="A39" s="17"/>
      <c r="B39" s="50" t="s">
        <v>120</v>
      </c>
      <c r="C39" s="50"/>
      <c r="D39" s="50"/>
      <c r="E39" s="50"/>
      <c r="F39" s="49"/>
      <c r="G39" s="49">
        <f>-'2013-2014 Budget 30April14'!P44</f>
        <v>-31234.83</v>
      </c>
      <c r="H39" s="64" t="s">
        <v>64</v>
      </c>
    </row>
    <row r="40" spans="1:10" x14ac:dyDescent="0.25">
      <c r="F40" s="38"/>
      <c r="G40" s="38"/>
      <c r="I40" s="41"/>
      <c r="J40" s="41"/>
    </row>
    <row r="41" spans="1:10" ht="13.8" thickBot="1" x14ac:dyDescent="0.3">
      <c r="B41" s="24" t="s">
        <v>56</v>
      </c>
      <c r="C41" s="35"/>
      <c r="D41" s="35"/>
      <c r="E41" s="35"/>
      <c r="F41" s="60"/>
      <c r="G41" s="61">
        <f>G35+G37+G39</f>
        <v>-2609.4400000000023</v>
      </c>
      <c r="H41" s="64" t="s">
        <v>138</v>
      </c>
      <c r="J41" s="41"/>
    </row>
    <row r="42" spans="1:10" ht="13.8" thickTop="1" x14ac:dyDescent="0.25">
      <c r="J42" s="41"/>
    </row>
    <row r="44" spans="1:10" x14ac:dyDescent="0.25">
      <c r="A44" s="17"/>
    </row>
    <row r="46" spans="1:10" x14ac:dyDescent="0.25">
      <c r="I46" s="38"/>
    </row>
    <row r="47" spans="1:10" x14ac:dyDescent="0.25">
      <c r="I47" s="38"/>
    </row>
    <row r="59" spans="1:1" x14ac:dyDescent="0.25">
      <c r="A59" s="17"/>
    </row>
  </sheetData>
  <pageMargins left="0.75" right="0.75" top="1" bottom="1" header="0.5" footer="0.5"/>
  <pageSetup scale="87" orientation="portrait" horizontalDpi="2400" verticalDpi="2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13" zoomScaleNormal="100" workbookViewId="0">
      <selection activeCell="L43" sqref="L43"/>
    </sheetView>
  </sheetViews>
  <sheetFormatPr defaultColWidth="11.44140625" defaultRowHeight="13.2" x14ac:dyDescent="0.25"/>
  <cols>
    <col min="1" max="1" width="12.109375" style="12" customWidth="1"/>
    <col min="2" max="2" width="31.109375" style="12" bestFit="1" customWidth="1"/>
    <col min="3" max="3" width="9.6640625" style="12" bestFit="1" customWidth="1"/>
    <col min="4" max="4" width="8.6640625" style="12" customWidth="1"/>
    <col min="5" max="5" width="8.88671875" style="12" bestFit="1" customWidth="1"/>
    <col min="6" max="6" width="10.88671875" style="12" bestFit="1" customWidth="1"/>
    <col min="7" max="7" width="8.6640625" style="12" bestFit="1" customWidth="1"/>
    <col min="8" max="8" width="8.6640625" style="12" customWidth="1"/>
    <col min="9" max="9" width="10.33203125" style="12" bestFit="1" customWidth="1"/>
    <col min="10" max="10" width="4.44140625" style="12" customWidth="1"/>
    <col min="11" max="11" width="38.88671875" style="12" bestFit="1" customWidth="1"/>
    <col min="12" max="12" width="10.33203125" style="12" bestFit="1" customWidth="1"/>
    <col min="13" max="13" width="8.88671875" style="12" bestFit="1" customWidth="1"/>
    <col min="14" max="14" width="10.33203125" style="12" bestFit="1" customWidth="1"/>
    <col min="15" max="15" width="7.6640625" style="12" bestFit="1" customWidth="1"/>
    <col min="16" max="16" width="8.6640625" style="12" bestFit="1" customWidth="1"/>
    <col min="17" max="17" width="11.44140625" style="12" bestFit="1" customWidth="1"/>
    <col min="18" max="16384" width="11.44140625" style="12"/>
  </cols>
  <sheetData>
    <row r="1" spans="1:17" x14ac:dyDescent="0.25">
      <c r="A1" s="19"/>
      <c r="B1" s="47" t="s">
        <v>142</v>
      </c>
      <c r="C1" s="19"/>
      <c r="D1" s="19"/>
      <c r="E1" s="19"/>
      <c r="F1" s="19"/>
    </row>
    <row r="2" spans="1:17" x14ac:dyDescent="0.25">
      <c r="B2" s="47"/>
      <c r="C2" s="20"/>
      <c r="D2" s="20"/>
      <c r="E2" s="20"/>
      <c r="F2" s="20"/>
      <c r="G2" s="20"/>
      <c r="H2" s="20"/>
      <c r="I2" s="20"/>
      <c r="L2" s="20"/>
      <c r="M2" s="20"/>
      <c r="N2" s="20"/>
      <c r="O2" s="20"/>
      <c r="P2" s="20"/>
      <c r="Q2" s="20"/>
    </row>
    <row r="3" spans="1:17" x14ac:dyDescent="0.25">
      <c r="A3" s="17"/>
      <c r="B3" s="48"/>
      <c r="C3" s="25" t="s">
        <v>134</v>
      </c>
      <c r="D3" s="25" t="s">
        <v>135</v>
      </c>
      <c r="E3" s="25" t="s">
        <v>96</v>
      </c>
      <c r="F3" s="26" t="s">
        <v>94</v>
      </c>
      <c r="G3" s="25" t="s">
        <v>104</v>
      </c>
      <c r="H3" s="69"/>
      <c r="I3" s="25" t="s">
        <v>112</v>
      </c>
      <c r="K3" s="22"/>
      <c r="L3" s="25"/>
      <c r="M3" s="25" t="s">
        <v>96</v>
      </c>
      <c r="N3" s="26" t="s">
        <v>94</v>
      </c>
      <c r="O3" s="25" t="s">
        <v>104</v>
      </c>
      <c r="P3" s="25"/>
      <c r="Q3" s="25" t="s">
        <v>112</v>
      </c>
    </row>
    <row r="4" spans="1:17" x14ac:dyDescent="0.25">
      <c r="B4" s="14" t="s">
        <v>85</v>
      </c>
      <c r="C4" s="28" t="s">
        <v>87</v>
      </c>
      <c r="D4" s="28" t="s">
        <v>87</v>
      </c>
      <c r="E4" s="28" t="s">
        <v>104</v>
      </c>
      <c r="F4" s="28" t="s">
        <v>104</v>
      </c>
      <c r="G4" s="28" t="s">
        <v>95</v>
      </c>
      <c r="H4" s="70" t="s">
        <v>105</v>
      </c>
      <c r="I4" s="28" t="s">
        <v>97</v>
      </c>
      <c r="K4" s="14" t="s">
        <v>99</v>
      </c>
      <c r="L4" s="28" t="s">
        <v>87</v>
      </c>
      <c r="M4" s="28" t="s">
        <v>104</v>
      </c>
      <c r="N4" s="28" t="s">
        <v>104</v>
      </c>
      <c r="O4" s="28" t="s">
        <v>95</v>
      </c>
      <c r="P4" s="28" t="s">
        <v>105</v>
      </c>
      <c r="Q4" s="28" t="s">
        <v>97</v>
      </c>
    </row>
    <row r="5" spans="1:17" x14ac:dyDescent="0.25">
      <c r="B5" s="22" t="s">
        <v>0</v>
      </c>
      <c r="C5" s="23">
        <v>10612</v>
      </c>
      <c r="D5" s="23">
        <f>C5</f>
        <v>10612</v>
      </c>
      <c r="E5" s="23">
        <v>10175.25</v>
      </c>
      <c r="F5" s="23">
        <v>0</v>
      </c>
      <c r="G5" s="23">
        <f>SUM(E5:F5)</f>
        <v>10175.25</v>
      </c>
      <c r="H5" s="30">
        <v>0</v>
      </c>
      <c r="I5" s="23">
        <f>G5-C5</f>
        <v>-436.75</v>
      </c>
      <c r="K5" s="29" t="s">
        <v>16</v>
      </c>
      <c r="L5" s="29"/>
      <c r="M5" s="29"/>
      <c r="N5" s="30"/>
      <c r="O5" s="29"/>
      <c r="P5" s="29"/>
      <c r="Q5" s="30"/>
    </row>
    <row r="6" spans="1:17" x14ac:dyDescent="0.25">
      <c r="B6" s="19" t="s">
        <v>2</v>
      </c>
      <c r="C6" s="16">
        <v>1500</v>
      </c>
      <c r="D6" s="16">
        <f t="shared" ref="D6:D14" si="0">C6</f>
        <v>1500</v>
      </c>
      <c r="E6" s="16">
        <v>0</v>
      </c>
      <c r="F6" s="16">
        <f>'Cash Position as of 28Feb14'!G11</f>
        <v>1090.33</v>
      </c>
      <c r="G6" s="16">
        <f t="shared" ref="G6:G15" si="1">SUM(E6:F6)</f>
        <v>1090.33</v>
      </c>
      <c r="H6" s="32">
        <f>D6-G6</f>
        <v>409.67000000000007</v>
      </c>
      <c r="I6" s="16">
        <f t="shared" ref="I6:I13" si="2">G6-C6</f>
        <v>-409.67000000000007</v>
      </c>
      <c r="K6" s="19" t="s">
        <v>18</v>
      </c>
      <c r="L6" s="16">
        <v>650</v>
      </c>
      <c r="M6" s="16">
        <v>0</v>
      </c>
      <c r="N6" s="16">
        <v>0</v>
      </c>
      <c r="O6" s="16">
        <f>N6+M6</f>
        <v>0</v>
      </c>
      <c r="P6" s="32">
        <f>L6-O6</f>
        <v>650</v>
      </c>
      <c r="Q6" s="16">
        <f>O6-L6</f>
        <v>-650</v>
      </c>
    </row>
    <row r="7" spans="1:17" x14ac:dyDescent="0.25">
      <c r="B7" s="19" t="s">
        <v>82</v>
      </c>
      <c r="C7" s="16">
        <v>5000</v>
      </c>
      <c r="D7" s="16">
        <f t="shared" si="0"/>
        <v>5000</v>
      </c>
      <c r="E7" s="16">
        <f>'Cash Position as of 31Dec13'!G9</f>
        <v>4119.3999999999996</v>
      </c>
      <c r="F7" s="16">
        <f>'Cash Position as of 28Feb14'!G10</f>
        <v>835</v>
      </c>
      <c r="G7" s="16">
        <f>SUM(E7:F7)</f>
        <v>4954.3999999999996</v>
      </c>
      <c r="H7" s="32">
        <v>0</v>
      </c>
      <c r="I7" s="16">
        <f t="shared" si="2"/>
        <v>-45.600000000000364</v>
      </c>
      <c r="K7" s="19" t="s">
        <v>19</v>
      </c>
      <c r="L7" s="16">
        <v>500</v>
      </c>
      <c r="M7" s="16">
        <v>0</v>
      </c>
      <c r="N7" s="16">
        <v>0</v>
      </c>
      <c r="O7" s="16">
        <f t="shared" ref="O7:O31" si="3">N7+M7</f>
        <v>0</v>
      </c>
      <c r="P7" s="32">
        <f t="shared" ref="P7:P31" si="4">L7-O7</f>
        <v>500</v>
      </c>
      <c r="Q7" s="16">
        <f t="shared" ref="Q7:Q31" si="5">O7-L7</f>
        <v>-500</v>
      </c>
    </row>
    <row r="8" spans="1:17" x14ac:dyDescent="0.25">
      <c r="B8" s="19" t="s">
        <v>144</v>
      </c>
      <c r="C8" s="16">
        <v>0</v>
      </c>
      <c r="D8" s="16">
        <f>F8</f>
        <v>1032.25</v>
      </c>
      <c r="E8" s="16">
        <v>0</v>
      </c>
      <c r="F8" s="16">
        <f>'Cash Position as of 28Feb14'!G9</f>
        <v>1032.25</v>
      </c>
      <c r="G8" s="16">
        <f>SUM(E8:F8)</f>
        <v>1032.25</v>
      </c>
      <c r="H8" s="32">
        <v>0</v>
      </c>
      <c r="I8" s="16">
        <f>D8-G8</f>
        <v>0</v>
      </c>
      <c r="K8" s="27" t="s">
        <v>88</v>
      </c>
      <c r="L8" s="16">
        <v>3800</v>
      </c>
      <c r="M8" s="16">
        <v>0</v>
      </c>
      <c r="N8" s="16">
        <v>0</v>
      </c>
      <c r="O8" s="16">
        <f t="shared" si="3"/>
        <v>0</v>
      </c>
      <c r="P8" s="32">
        <f t="shared" si="4"/>
        <v>3800</v>
      </c>
      <c r="Q8" s="16">
        <f t="shared" si="5"/>
        <v>-3800</v>
      </c>
    </row>
    <row r="9" spans="1:17" x14ac:dyDescent="0.25">
      <c r="B9" s="19" t="s">
        <v>52</v>
      </c>
      <c r="C9" s="16">
        <v>6700</v>
      </c>
      <c r="D9" s="16">
        <v>8000</v>
      </c>
      <c r="E9" s="16">
        <v>0</v>
      </c>
      <c r="F9" s="16">
        <v>0</v>
      </c>
      <c r="G9" s="16">
        <f t="shared" si="1"/>
        <v>0</v>
      </c>
      <c r="H9" s="32">
        <f>D9</f>
        <v>8000</v>
      </c>
      <c r="I9" s="16">
        <f t="shared" si="2"/>
        <v>-6700</v>
      </c>
      <c r="K9" s="31" t="s">
        <v>20</v>
      </c>
      <c r="L9" s="32"/>
      <c r="M9" s="32"/>
      <c r="N9" s="32"/>
      <c r="O9" s="32"/>
      <c r="P9" s="32"/>
      <c r="Q9" s="32"/>
    </row>
    <row r="10" spans="1:17" x14ac:dyDescent="0.25">
      <c r="B10" s="19" t="s">
        <v>3</v>
      </c>
      <c r="C10" s="16">
        <v>14000</v>
      </c>
      <c r="D10" s="16">
        <v>8000</v>
      </c>
      <c r="E10" s="16">
        <v>0</v>
      </c>
      <c r="F10" s="16">
        <v>0</v>
      </c>
      <c r="G10" s="16">
        <f t="shared" si="1"/>
        <v>0</v>
      </c>
      <c r="H10" s="32">
        <f>D10</f>
        <v>8000</v>
      </c>
      <c r="I10" s="16">
        <f t="shared" si="2"/>
        <v>-14000</v>
      </c>
      <c r="K10" s="27" t="s">
        <v>113</v>
      </c>
      <c r="L10" s="16">
        <v>6200</v>
      </c>
      <c r="M10" s="16">
        <f>600+728</f>
        <v>1328</v>
      </c>
      <c r="N10" s="16">
        <f>'Cash Position as of 28Feb14'!G23</f>
        <v>637.09</v>
      </c>
      <c r="O10" s="16">
        <f t="shared" si="3"/>
        <v>1965.0900000000001</v>
      </c>
      <c r="P10" s="32">
        <f t="shared" si="4"/>
        <v>4234.91</v>
      </c>
      <c r="Q10" s="16">
        <f t="shared" si="5"/>
        <v>-4234.91</v>
      </c>
    </row>
    <row r="11" spans="1:17" x14ac:dyDescent="0.25">
      <c r="B11" s="19" t="s">
        <v>4</v>
      </c>
      <c r="C11" s="16">
        <v>500</v>
      </c>
      <c r="D11" s="16">
        <f t="shared" si="0"/>
        <v>500</v>
      </c>
      <c r="E11" s="16">
        <v>0</v>
      </c>
      <c r="F11" s="16">
        <v>0</v>
      </c>
      <c r="G11" s="16">
        <f t="shared" si="1"/>
        <v>0</v>
      </c>
      <c r="H11" s="32">
        <f>D11</f>
        <v>500</v>
      </c>
      <c r="I11" s="16">
        <f t="shared" si="2"/>
        <v>-500</v>
      </c>
      <c r="K11" s="31" t="s">
        <v>27</v>
      </c>
      <c r="L11" s="32"/>
      <c r="M11" s="32"/>
      <c r="N11" s="78"/>
      <c r="O11" s="32"/>
      <c r="P11" s="32"/>
      <c r="Q11" s="32"/>
    </row>
    <row r="12" spans="1:17" x14ac:dyDescent="0.25">
      <c r="B12" s="19" t="s">
        <v>10</v>
      </c>
      <c r="C12" s="16">
        <v>1200</v>
      </c>
      <c r="D12" s="16">
        <f t="shared" si="0"/>
        <v>1200</v>
      </c>
      <c r="E12" s="16">
        <v>248.95</v>
      </c>
      <c r="F12" s="16">
        <f>'Cash Position as of 28Feb14'!G12</f>
        <v>450.9</v>
      </c>
      <c r="G12" s="16">
        <f t="shared" si="1"/>
        <v>699.84999999999991</v>
      </c>
      <c r="H12" s="32">
        <f>D12-G12</f>
        <v>500.15000000000009</v>
      </c>
      <c r="I12" s="16">
        <f t="shared" si="2"/>
        <v>-500.15000000000009</v>
      </c>
      <c r="K12" s="19" t="s">
        <v>21</v>
      </c>
      <c r="L12" s="16">
        <v>1000</v>
      </c>
      <c r="M12" s="16">
        <v>0</v>
      </c>
      <c r="N12" s="75">
        <v>0</v>
      </c>
      <c r="O12" s="16">
        <f t="shared" si="3"/>
        <v>0</v>
      </c>
      <c r="P12" s="32">
        <f t="shared" si="4"/>
        <v>1000</v>
      </c>
      <c r="Q12" s="16">
        <f t="shared" si="5"/>
        <v>-1000</v>
      </c>
    </row>
    <row r="13" spans="1:17" x14ac:dyDescent="0.25">
      <c r="B13" s="19" t="s">
        <v>7</v>
      </c>
      <c r="C13" s="16">
        <v>11500</v>
      </c>
      <c r="D13" s="16">
        <f t="shared" si="0"/>
        <v>11500</v>
      </c>
      <c r="E13" s="16">
        <f>4910.75+139.8</f>
        <v>5050.55</v>
      </c>
      <c r="F13" s="16">
        <f>'Cash Position as of 28Feb14'!G13</f>
        <v>5946.15</v>
      </c>
      <c r="G13" s="16">
        <f t="shared" si="1"/>
        <v>10996.7</v>
      </c>
      <c r="H13" s="32">
        <f>D13-G13</f>
        <v>503.29999999999927</v>
      </c>
      <c r="I13" s="16">
        <f t="shared" si="2"/>
        <v>-503.29999999999927</v>
      </c>
      <c r="K13" s="19" t="s">
        <v>22</v>
      </c>
      <c r="L13" s="16">
        <v>150</v>
      </c>
      <c r="M13" s="16">
        <v>131.32</v>
      </c>
      <c r="N13" s="75">
        <v>0</v>
      </c>
      <c r="O13" s="16">
        <f t="shared" si="3"/>
        <v>131.32</v>
      </c>
      <c r="P13" s="32">
        <f t="shared" si="4"/>
        <v>18.680000000000007</v>
      </c>
      <c r="Q13" s="16">
        <f t="shared" si="5"/>
        <v>-18.680000000000007</v>
      </c>
    </row>
    <row r="14" spans="1:17" x14ac:dyDescent="0.25">
      <c r="A14" s="14"/>
      <c r="B14" s="19" t="s">
        <v>8</v>
      </c>
      <c r="C14" s="16">
        <v>8000</v>
      </c>
      <c r="D14" s="16">
        <f t="shared" si="0"/>
        <v>8000</v>
      </c>
      <c r="E14" s="16">
        <f>8264.3+226.8</f>
        <v>8491.0999999999985</v>
      </c>
      <c r="F14" s="75">
        <v>0</v>
      </c>
      <c r="G14" s="16">
        <f t="shared" si="1"/>
        <v>8491.0999999999985</v>
      </c>
      <c r="H14" s="32">
        <v>0</v>
      </c>
      <c r="I14" s="16">
        <f>G14-C14</f>
        <v>491.09999999999854</v>
      </c>
      <c r="K14" s="19" t="s">
        <v>24</v>
      </c>
      <c r="L14" s="16">
        <v>300</v>
      </c>
      <c r="M14" s="16">
        <v>0</v>
      </c>
      <c r="N14" s="75">
        <v>0</v>
      </c>
      <c r="O14" s="16">
        <f t="shared" si="3"/>
        <v>0</v>
      </c>
      <c r="P14" s="32">
        <f t="shared" si="4"/>
        <v>300</v>
      </c>
      <c r="Q14" s="16">
        <f t="shared" si="5"/>
        <v>-300</v>
      </c>
    </row>
    <row r="15" spans="1:17" x14ac:dyDescent="0.25">
      <c r="B15" s="20" t="s">
        <v>136</v>
      </c>
      <c r="C15" s="21">
        <v>0</v>
      </c>
      <c r="D15" s="21">
        <v>3000</v>
      </c>
      <c r="E15" s="21">
        <v>0</v>
      </c>
      <c r="F15" s="21">
        <v>0</v>
      </c>
      <c r="G15" s="21">
        <f t="shared" si="1"/>
        <v>0</v>
      </c>
      <c r="H15" s="71">
        <f>D15-G15</f>
        <v>3000</v>
      </c>
      <c r="I15" s="21">
        <f>G15-C15</f>
        <v>0</v>
      </c>
      <c r="K15" s="19" t="s">
        <v>25</v>
      </c>
      <c r="L15" s="16">
        <v>300</v>
      </c>
      <c r="M15" s="16">
        <v>0</v>
      </c>
      <c r="N15" s="75">
        <v>0</v>
      </c>
      <c r="O15" s="16">
        <f t="shared" si="3"/>
        <v>0</v>
      </c>
      <c r="P15" s="32">
        <f t="shared" si="4"/>
        <v>300</v>
      </c>
      <c r="Q15" s="16">
        <f t="shared" si="5"/>
        <v>-300</v>
      </c>
    </row>
    <row r="16" spans="1:17" ht="13.8" thickBot="1" x14ac:dyDescent="0.3">
      <c r="A16" s="14"/>
      <c r="B16" s="67" t="s">
        <v>86</v>
      </c>
      <c r="C16" s="18">
        <f t="shared" ref="C16:I16" si="6">SUM(C5:C15)</f>
        <v>59012</v>
      </c>
      <c r="D16" s="18">
        <f t="shared" si="6"/>
        <v>58344.25</v>
      </c>
      <c r="E16" s="18">
        <f t="shared" si="6"/>
        <v>28085.25</v>
      </c>
      <c r="F16" s="18">
        <f t="shared" si="6"/>
        <v>9354.6299999999992</v>
      </c>
      <c r="G16" s="18">
        <f t="shared" si="6"/>
        <v>37439.879999999997</v>
      </c>
      <c r="H16" s="72">
        <f t="shared" si="6"/>
        <v>20913.12</v>
      </c>
      <c r="I16" s="18">
        <f t="shared" si="6"/>
        <v>-22604.370000000003</v>
      </c>
      <c r="K16" s="31" t="s">
        <v>26</v>
      </c>
      <c r="L16" s="32"/>
      <c r="M16" s="32"/>
      <c r="N16" s="78"/>
      <c r="O16" s="32"/>
      <c r="P16" s="32"/>
      <c r="Q16" s="32"/>
    </row>
    <row r="17" spans="1:18" ht="13.8" thickTop="1" x14ac:dyDescent="0.25">
      <c r="C17" s="15"/>
      <c r="D17" s="15"/>
      <c r="E17" s="15"/>
      <c r="F17" s="15"/>
      <c r="G17" s="62"/>
      <c r="H17" s="73"/>
      <c r="I17" s="15"/>
      <c r="K17" s="27" t="s">
        <v>111</v>
      </c>
      <c r="L17" s="16">
        <v>5500</v>
      </c>
      <c r="M17" s="16">
        <v>1405.87</v>
      </c>
      <c r="N17" s="75">
        <v>0</v>
      </c>
      <c r="O17" s="16">
        <f t="shared" si="3"/>
        <v>1405.87</v>
      </c>
      <c r="P17" s="32">
        <f t="shared" si="4"/>
        <v>4094.13</v>
      </c>
      <c r="Q17" s="16">
        <f t="shared" si="5"/>
        <v>-4094.13</v>
      </c>
    </row>
    <row r="18" spans="1:18" x14ac:dyDescent="0.25">
      <c r="B18" s="17" t="s">
        <v>63</v>
      </c>
      <c r="C18" s="15"/>
      <c r="D18" s="15"/>
      <c r="E18" s="15"/>
      <c r="F18" s="15"/>
      <c r="G18" s="15"/>
      <c r="H18" s="73"/>
      <c r="I18" s="28"/>
      <c r="K18" s="19" t="s">
        <v>28</v>
      </c>
      <c r="L18" s="16">
        <v>1500</v>
      </c>
      <c r="M18" s="16">
        <v>0</v>
      </c>
      <c r="N18" s="75">
        <v>0</v>
      </c>
      <c r="O18" s="16">
        <f t="shared" si="3"/>
        <v>0</v>
      </c>
      <c r="P18" s="32">
        <f t="shared" si="4"/>
        <v>1500</v>
      </c>
      <c r="Q18" s="16">
        <f t="shared" si="5"/>
        <v>-1500</v>
      </c>
    </row>
    <row r="19" spans="1:18" x14ac:dyDescent="0.25">
      <c r="B19" s="22" t="s">
        <v>0</v>
      </c>
      <c r="C19" s="23">
        <v>5071</v>
      </c>
      <c r="D19" s="23">
        <f>C19</f>
        <v>5071</v>
      </c>
      <c r="E19" s="23">
        <f>4877.95+538.99</f>
        <v>5416.94</v>
      </c>
      <c r="F19" s="76">
        <v>0</v>
      </c>
      <c r="G19" s="23">
        <f>F19+E19</f>
        <v>5416.94</v>
      </c>
      <c r="H19" s="30">
        <v>0</v>
      </c>
      <c r="I19" s="23">
        <f>G19-C19</f>
        <v>345.9399999999996</v>
      </c>
      <c r="K19" s="19" t="s">
        <v>29</v>
      </c>
      <c r="L19" s="16">
        <v>1000</v>
      </c>
      <c r="M19" s="16">
        <v>0</v>
      </c>
      <c r="N19" s="75">
        <v>0</v>
      </c>
      <c r="O19" s="16">
        <f t="shared" si="3"/>
        <v>0</v>
      </c>
      <c r="P19" s="32">
        <f t="shared" si="4"/>
        <v>1000</v>
      </c>
      <c r="Q19" s="16">
        <f t="shared" si="5"/>
        <v>-1000</v>
      </c>
    </row>
    <row r="20" spans="1:18" x14ac:dyDescent="0.25">
      <c r="B20" s="19" t="s">
        <v>83</v>
      </c>
      <c r="C20" s="16">
        <v>500</v>
      </c>
      <c r="D20" s="16">
        <v>700</v>
      </c>
      <c r="E20" s="16">
        <v>0</v>
      </c>
      <c r="F20" s="75">
        <v>0</v>
      </c>
      <c r="G20" s="16">
        <f t="shared" ref="G20:G25" si="7">F20+E20</f>
        <v>0</v>
      </c>
      <c r="H20" s="32">
        <f>D20</f>
        <v>700</v>
      </c>
      <c r="I20" s="16">
        <f t="shared" ref="I20:I25" si="8">G20-C20</f>
        <v>-500</v>
      </c>
      <c r="K20" s="31" t="s">
        <v>30</v>
      </c>
      <c r="L20" s="32"/>
      <c r="M20" s="32"/>
      <c r="N20" s="78"/>
      <c r="O20" s="32"/>
      <c r="P20" s="32"/>
      <c r="Q20" s="32"/>
    </row>
    <row r="21" spans="1:18" x14ac:dyDescent="0.25">
      <c r="B21" s="19" t="s">
        <v>82</v>
      </c>
      <c r="C21" s="16">
        <v>1000</v>
      </c>
      <c r="D21" s="16">
        <f>C21</f>
        <v>1000</v>
      </c>
      <c r="E21" s="16">
        <v>526</v>
      </c>
      <c r="F21" s="16">
        <f>'Cash Position as of 28Feb14'!G21</f>
        <v>587.53</v>
      </c>
      <c r="G21" s="16">
        <f t="shared" si="7"/>
        <v>1113.53</v>
      </c>
      <c r="H21" s="32">
        <v>0</v>
      </c>
      <c r="I21" s="16">
        <f t="shared" si="8"/>
        <v>113.52999999999997</v>
      </c>
      <c r="K21" s="19" t="s">
        <v>66</v>
      </c>
      <c r="L21" s="16">
        <v>4300</v>
      </c>
      <c r="M21" s="16">
        <v>100</v>
      </c>
      <c r="N21" s="16">
        <f>'Cash Position as of 28Feb14'!G24</f>
        <v>1417</v>
      </c>
      <c r="O21" s="16">
        <f t="shared" si="3"/>
        <v>1517</v>
      </c>
      <c r="P21" s="32">
        <f t="shared" si="4"/>
        <v>2783</v>
      </c>
      <c r="Q21" s="16">
        <f t="shared" si="5"/>
        <v>-2783</v>
      </c>
    </row>
    <row r="22" spans="1:18" x14ac:dyDescent="0.25">
      <c r="B22" s="19" t="s">
        <v>52</v>
      </c>
      <c r="C22" s="16">
        <v>700</v>
      </c>
      <c r="D22" s="16">
        <f>C22</f>
        <v>700</v>
      </c>
      <c r="E22" s="16">
        <v>0</v>
      </c>
      <c r="F22" s="16">
        <f>'Cash Position as of 28Feb14'!G20</f>
        <v>139.56</v>
      </c>
      <c r="G22" s="16">
        <f t="shared" si="7"/>
        <v>139.56</v>
      </c>
      <c r="H22" s="32">
        <f>D22-G22</f>
        <v>560.44000000000005</v>
      </c>
      <c r="I22" s="16">
        <f t="shared" si="8"/>
        <v>-560.44000000000005</v>
      </c>
      <c r="K22" s="19" t="s">
        <v>84</v>
      </c>
      <c r="L22" s="16">
        <v>600</v>
      </c>
      <c r="M22" s="16">
        <v>0</v>
      </c>
      <c r="N22" s="75">
        <v>0</v>
      </c>
      <c r="O22" s="16">
        <f t="shared" si="3"/>
        <v>0</v>
      </c>
      <c r="P22" s="32">
        <f t="shared" si="4"/>
        <v>600</v>
      </c>
      <c r="Q22" s="16">
        <f t="shared" si="5"/>
        <v>-600</v>
      </c>
    </row>
    <row r="23" spans="1:18" x14ac:dyDescent="0.25">
      <c r="B23" s="19" t="s">
        <v>3</v>
      </c>
      <c r="C23" s="16">
        <v>4000</v>
      </c>
      <c r="D23" s="16">
        <v>1000</v>
      </c>
      <c r="E23" s="16">
        <v>0</v>
      </c>
      <c r="F23" s="16">
        <v>0</v>
      </c>
      <c r="G23" s="16">
        <f t="shared" si="7"/>
        <v>0</v>
      </c>
      <c r="H23" s="32">
        <f>D23-G23</f>
        <v>1000</v>
      </c>
      <c r="I23" s="16">
        <f t="shared" si="8"/>
        <v>-4000</v>
      </c>
      <c r="J23" s="13"/>
      <c r="K23" s="19" t="s">
        <v>51</v>
      </c>
      <c r="L23" s="16">
        <v>200</v>
      </c>
      <c r="M23" s="16">
        <v>0</v>
      </c>
      <c r="N23" s="75">
        <v>0</v>
      </c>
      <c r="O23" s="16">
        <f t="shared" si="3"/>
        <v>0</v>
      </c>
      <c r="P23" s="32">
        <f t="shared" si="4"/>
        <v>200</v>
      </c>
      <c r="Q23" s="16">
        <f t="shared" si="5"/>
        <v>-200</v>
      </c>
    </row>
    <row r="24" spans="1:18" x14ac:dyDescent="0.25">
      <c r="B24" s="19" t="s">
        <v>9</v>
      </c>
      <c r="C24" s="16">
        <v>10000</v>
      </c>
      <c r="D24" s="16">
        <f>C24</f>
        <v>10000</v>
      </c>
      <c r="E24" s="16">
        <f>447.09+2519.77</f>
        <v>2966.86</v>
      </c>
      <c r="F24" s="16">
        <f>'Cash Position as of 28Feb14'!G19</f>
        <v>1578.7199999999998</v>
      </c>
      <c r="G24" s="16">
        <f t="shared" si="7"/>
        <v>4545.58</v>
      </c>
      <c r="H24" s="32">
        <f>D24-G24</f>
        <v>5454.42</v>
      </c>
      <c r="I24" s="16">
        <f t="shared" si="8"/>
        <v>-5454.42</v>
      </c>
      <c r="K24" s="19" t="s">
        <v>31</v>
      </c>
      <c r="L24" s="16">
        <v>1100</v>
      </c>
      <c r="M24" s="16">
        <v>0</v>
      </c>
      <c r="N24" s="75">
        <v>0</v>
      </c>
      <c r="O24" s="16">
        <f t="shared" si="3"/>
        <v>0</v>
      </c>
      <c r="P24" s="32">
        <f t="shared" si="4"/>
        <v>1100</v>
      </c>
      <c r="Q24" s="16">
        <f t="shared" si="5"/>
        <v>-1100</v>
      </c>
    </row>
    <row r="25" spans="1:18" x14ac:dyDescent="0.25">
      <c r="A25" s="14"/>
      <c r="B25" s="20" t="s">
        <v>8</v>
      </c>
      <c r="C25" s="21">
        <v>8000</v>
      </c>
      <c r="D25" s="21">
        <f>C25</f>
        <v>8000</v>
      </c>
      <c r="E25" s="21">
        <f>921.43+1480.47+1351.62</f>
        <v>3753.52</v>
      </c>
      <c r="F25" s="21">
        <f>'Cash Position as of 28Feb14'!G18</f>
        <v>1895.4099999999999</v>
      </c>
      <c r="G25" s="21">
        <f t="shared" si="7"/>
        <v>5648.93</v>
      </c>
      <c r="H25" s="71">
        <f>D25-G25</f>
        <v>2351.0699999999997</v>
      </c>
      <c r="I25" s="21">
        <f t="shared" si="8"/>
        <v>-2351.0699999999997</v>
      </c>
      <c r="K25" s="19" t="s">
        <v>32</v>
      </c>
      <c r="L25" s="16">
        <v>500</v>
      </c>
      <c r="M25" s="16">
        <v>0</v>
      </c>
      <c r="N25" s="75">
        <v>0</v>
      </c>
      <c r="O25" s="16">
        <f t="shared" si="3"/>
        <v>0</v>
      </c>
      <c r="P25" s="32">
        <f t="shared" si="4"/>
        <v>500</v>
      </c>
      <c r="Q25" s="16">
        <f t="shared" si="5"/>
        <v>-500</v>
      </c>
    </row>
    <row r="26" spans="1:18" ht="13.8" thickBot="1" x14ac:dyDescent="0.3">
      <c r="B26" s="24" t="s">
        <v>55</v>
      </c>
      <c r="C26" s="18">
        <f t="shared" ref="C26:I26" si="9">SUM(C19:C25)</f>
        <v>29271</v>
      </c>
      <c r="D26" s="18">
        <f>SUM(D19:D25)</f>
        <v>26471</v>
      </c>
      <c r="E26" s="18">
        <f t="shared" si="9"/>
        <v>12663.32</v>
      </c>
      <c r="F26" s="18">
        <f t="shared" si="9"/>
        <v>4201.2199999999993</v>
      </c>
      <c r="G26" s="18">
        <f t="shared" si="9"/>
        <v>16864.54</v>
      </c>
      <c r="H26" s="72">
        <f t="shared" si="9"/>
        <v>10065.93</v>
      </c>
      <c r="I26" s="18">
        <f t="shared" si="9"/>
        <v>-12406.46</v>
      </c>
      <c r="K26" s="19" t="s">
        <v>33</v>
      </c>
      <c r="L26" s="16">
        <v>1000</v>
      </c>
      <c r="M26" s="16">
        <v>0</v>
      </c>
      <c r="N26" s="75">
        <v>0</v>
      </c>
      <c r="O26" s="16">
        <f t="shared" si="3"/>
        <v>0</v>
      </c>
      <c r="P26" s="32">
        <f t="shared" si="4"/>
        <v>1000</v>
      </c>
      <c r="Q26" s="16">
        <f t="shared" si="5"/>
        <v>-1000</v>
      </c>
    </row>
    <row r="27" spans="1:18" ht="13.8" thickTop="1" x14ac:dyDescent="0.25">
      <c r="C27" s="16"/>
      <c r="D27" s="16"/>
      <c r="E27" s="16"/>
      <c r="F27" s="16"/>
      <c r="G27" s="63"/>
      <c r="H27" s="32"/>
      <c r="I27" s="15"/>
      <c r="K27" s="31" t="s">
        <v>34</v>
      </c>
      <c r="L27" s="32"/>
      <c r="M27" s="32"/>
      <c r="N27" s="78"/>
      <c r="O27" s="32"/>
      <c r="P27" s="32"/>
      <c r="Q27" s="32"/>
    </row>
    <row r="28" spans="1:18" x14ac:dyDescent="0.25">
      <c r="B28" s="14" t="s">
        <v>145</v>
      </c>
      <c r="C28" s="28"/>
      <c r="D28" s="28"/>
      <c r="E28" s="28"/>
      <c r="F28" s="28"/>
      <c r="G28" s="28"/>
      <c r="H28" s="70"/>
      <c r="I28" s="28"/>
      <c r="K28" s="19" t="s">
        <v>116</v>
      </c>
      <c r="L28" s="16">
        <v>86</v>
      </c>
      <c r="M28" s="16">
        <v>0</v>
      </c>
      <c r="N28" s="75">
        <v>0</v>
      </c>
      <c r="O28" s="16">
        <f t="shared" si="3"/>
        <v>0</v>
      </c>
      <c r="P28" s="32">
        <f t="shared" si="4"/>
        <v>86</v>
      </c>
      <c r="Q28" s="16">
        <f t="shared" si="5"/>
        <v>-86</v>
      </c>
    </row>
    <row r="29" spans="1:18" x14ac:dyDescent="0.25">
      <c r="A29" s="14"/>
      <c r="B29" s="22" t="s">
        <v>0</v>
      </c>
      <c r="C29" s="23">
        <f>C5-C19</f>
        <v>5541</v>
      </c>
      <c r="D29" s="23">
        <f>D5-D19</f>
        <v>5541</v>
      </c>
      <c r="E29" s="23"/>
      <c r="F29" s="23"/>
      <c r="G29" s="23">
        <f>G5-G19</f>
        <v>4758.3100000000004</v>
      </c>
      <c r="H29" s="30">
        <f>H5-H19</f>
        <v>0</v>
      </c>
      <c r="I29" s="23"/>
      <c r="K29" s="19" t="s">
        <v>117</v>
      </c>
      <c r="L29" s="16">
        <v>250</v>
      </c>
      <c r="M29" s="16">
        <v>0</v>
      </c>
      <c r="N29" s="75">
        <v>0</v>
      </c>
      <c r="O29" s="16">
        <f t="shared" si="3"/>
        <v>0</v>
      </c>
      <c r="P29" s="32">
        <f t="shared" si="4"/>
        <v>250</v>
      </c>
      <c r="Q29" s="16">
        <f t="shared" si="5"/>
        <v>-250</v>
      </c>
    </row>
    <row r="30" spans="1:18" x14ac:dyDescent="0.25">
      <c r="B30" s="19" t="s">
        <v>2</v>
      </c>
      <c r="C30" s="16">
        <f t="shared" ref="C30:H30" si="10">C6-C20</f>
        <v>1000</v>
      </c>
      <c r="D30" s="16">
        <f t="shared" si="10"/>
        <v>800</v>
      </c>
      <c r="E30" s="16"/>
      <c r="F30" s="16"/>
      <c r="G30" s="16">
        <f t="shared" si="10"/>
        <v>1090.33</v>
      </c>
      <c r="H30" s="32">
        <f t="shared" si="10"/>
        <v>-290.32999999999993</v>
      </c>
      <c r="I30" s="16"/>
      <c r="K30" s="19" t="s">
        <v>133</v>
      </c>
      <c r="L30" s="16">
        <f>'Cash Position as of 31Dec13'!G24</f>
        <v>460.9</v>
      </c>
      <c r="M30" s="16">
        <v>460.9</v>
      </c>
      <c r="N30" s="75">
        <v>0</v>
      </c>
      <c r="O30" s="16">
        <f t="shared" si="3"/>
        <v>460.9</v>
      </c>
      <c r="P30" s="32">
        <f t="shared" si="4"/>
        <v>0</v>
      </c>
      <c r="Q30" s="16">
        <f t="shared" si="5"/>
        <v>0</v>
      </c>
    </row>
    <row r="31" spans="1:18" x14ac:dyDescent="0.25">
      <c r="B31" s="19" t="s">
        <v>82</v>
      </c>
      <c r="C31" s="16">
        <f t="shared" ref="C31:H31" si="11">C7-C21</f>
        <v>4000</v>
      </c>
      <c r="D31" s="16">
        <f t="shared" si="11"/>
        <v>4000</v>
      </c>
      <c r="E31" s="16"/>
      <c r="F31" s="16"/>
      <c r="G31" s="16">
        <f t="shared" si="11"/>
        <v>3840.87</v>
      </c>
      <c r="H31" s="32">
        <f t="shared" si="11"/>
        <v>0</v>
      </c>
      <c r="I31" s="16"/>
      <c r="K31" s="27" t="s">
        <v>89</v>
      </c>
      <c r="L31" s="16">
        <v>800</v>
      </c>
      <c r="M31" s="16">
        <v>0</v>
      </c>
      <c r="N31" s="75">
        <v>0</v>
      </c>
      <c r="O31" s="16">
        <f t="shared" si="3"/>
        <v>0</v>
      </c>
      <c r="P31" s="32">
        <f t="shared" si="4"/>
        <v>800</v>
      </c>
      <c r="Q31" s="16">
        <f t="shared" si="5"/>
        <v>-800</v>
      </c>
    </row>
    <row r="32" spans="1:18" x14ac:dyDescent="0.25">
      <c r="B32" s="19" t="s">
        <v>144</v>
      </c>
      <c r="C32" s="16">
        <f>C8</f>
        <v>0</v>
      </c>
      <c r="D32" s="16">
        <f>D8</f>
        <v>1032.25</v>
      </c>
      <c r="E32" s="16"/>
      <c r="F32" s="16"/>
      <c r="G32" s="16">
        <f>G8</f>
        <v>1032.25</v>
      </c>
      <c r="H32" s="32">
        <f>H8</f>
        <v>0</v>
      </c>
      <c r="I32" s="16"/>
      <c r="K32" s="31" t="s">
        <v>137</v>
      </c>
      <c r="L32" s="32"/>
      <c r="M32" s="32"/>
      <c r="N32" s="78"/>
      <c r="O32" s="32"/>
      <c r="P32" s="32"/>
      <c r="Q32" s="32"/>
      <c r="R32" s="19"/>
    </row>
    <row r="33" spans="1:18" x14ac:dyDescent="0.25">
      <c r="B33" s="19" t="s">
        <v>52</v>
      </c>
      <c r="C33" s="16">
        <f>C9-C22</f>
        <v>6000</v>
      </c>
      <c r="D33" s="16">
        <f>D9-D22</f>
        <v>7300</v>
      </c>
      <c r="E33" s="16"/>
      <c r="F33" s="16"/>
      <c r="G33" s="16">
        <f>G9-G22</f>
        <v>-139.56</v>
      </c>
      <c r="H33" s="32">
        <f>H9-H22</f>
        <v>7439.5599999999995</v>
      </c>
      <c r="I33" s="16"/>
      <c r="K33" s="19" t="s">
        <v>65</v>
      </c>
      <c r="L33" s="16">
        <f>25000-3715.71-6000-10000-5000</f>
        <v>284.29000000000087</v>
      </c>
      <c r="M33" s="16">
        <v>0</v>
      </c>
      <c r="N33" s="75">
        <v>0</v>
      </c>
      <c r="O33" s="16">
        <f>SUM(M33:N33)</f>
        <v>0</v>
      </c>
      <c r="P33" s="32">
        <f>L33-O33</f>
        <v>284.29000000000087</v>
      </c>
      <c r="Q33" s="16">
        <f>O33-L33</f>
        <v>-284.29000000000087</v>
      </c>
      <c r="R33" s="19"/>
    </row>
    <row r="34" spans="1:18" x14ac:dyDescent="0.25">
      <c r="B34" s="19" t="s">
        <v>3</v>
      </c>
      <c r="C34" s="16">
        <f>C10-C23</f>
        <v>10000</v>
      </c>
      <c r="D34" s="16">
        <f>D10-D23</f>
        <v>7000</v>
      </c>
      <c r="E34" s="16"/>
      <c r="F34" s="16"/>
      <c r="G34" s="16">
        <f>G10-G23</f>
        <v>0</v>
      </c>
      <c r="H34" s="32">
        <f>H10-H23</f>
        <v>7000</v>
      </c>
      <c r="I34" s="16"/>
      <c r="K34" s="19" t="s">
        <v>69</v>
      </c>
      <c r="L34" s="16">
        <v>3000</v>
      </c>
      <c r="M34" s="16">
        <v>3000</v>
      </c>
      <c r="N34" s="75">
        <v>0</v>
      </c>
      <c r="O34" s="16">
        <f t="shared" ref="O34:O42" si="12">SUM(M34:N34)</f>
        <v>3000</v>
      </c>
      <c r="P34" s="32">
        <f t="shared" ref="P34:P42" si="13">L34-O34</f>
        <v>0</v>
      </c>
      <c r="Q34" s="16">
        <f t="shared" ref="Q34:Q42" si="14">O34-L34</f>
        <v>0</v>
      </c>
      <c r="R34" s="19"/>
    </row>
    <row r="35" spans="1:18" x14ac:dyDescent="0.25">
      <c r="B35" s="19" t="s">
        <v>4</v>
      </c>
      <c r="C35" s="16">
        <f>C11</f>
        <v>500</v>
      </c>
      <c r="D35" s="16">
        <f>D11</f>
        <v>500</v>
      </c>
      <c r="E35" s="16"/>
      <c r="F35" s="16"/>
      <c r="G35" s="16">
        <f>G11</f>
        <v>0</v>
      </c>
      <c r="H35" s="32">
        <f>H11</f>
        <v>500</v>
      </c>
      <c r="I35" s="16"/>
      <c r="K35" s="19" t="s">
        <v>71</v>
      </c>
      <c r="L35" s="16">
        <v>2000</v>
      </c>
      <c r="M35" s="16">
        <v>0</v>
      </c>
      <c r="N35" s="75">
        <v>0</v>
      </c>
      <c r="O35" s="16">
        <f t="shared" si="12"/>
        <v>0</v>
      </c>
      <c r="P35" s="32">
        <f t="shared" si="13"/>
        <v>2000</v>
      </c>
      <c r="Q35" s="16">
        <f t="shared" si="14"/>
        <v>-2000</v>
      </c>
      <c r="R35" s="19"/>
    </row>
    <row r="36" spans="1:18" x14ac:dyDescent="0.25">
      <c r="B36" s="19" t="s">
        <v>10</v>
      </c>
      <c r="C36" s="16">
        <f>C12</f>
        <v>1200</v>
      </c>
      <c r="D36" s="16">
        <f>D12</f>
        <v>1200</v>
      </c>
      <c r="E36" s="16"/>
      <c r="F36" s="16"/>
      <c r="G36" s="16">
        <f>G12</f>
        <v>699.84999999999991</v>
      </c>
      <c r="H36" s="32">
        <f>H12</f>
        <v>500.15000000000009</v>
      </c>
      <c r="I36" s="16"/>
      <c r="K36" s="19" t="s">
        <v>70</v>
      </c>
      <c r="L36" s="16">
        <v>600</v>
      </c>
      <c r="M36" s="16">
        <v>575</v>
      </c>
      <c r="N36" s="75">
        <v>0</v>
      </c>
      <c r="O36" s="16">
        <f t="shared" si="12"/>
        <v>575</v>
      </c>
      <c r="P36" s="32">
        <f t="shared" si="13"/>
        <v>25</v>
      </c>
      <c r="Q36" s="16">
        <f t="shared" si="14"/>
        <v>-25</v>
      </c>
      <c r="R36" s="19"/>
    </row>
    <row r="37" spans="1:18" x14ac:dyDescent="0.25">
      <c r="B37" s="19" t="s">
        <v>7</v>
      </c>
      <c r="C37" s="16">
        <f>C13-C24</f>
        <v>1500</v>
      </c>
      <c r="D37" s="16">
        <f>D13-D24</f>
        <v>1500</v>
      </c>
      <c r="E37" s="16"/>
      <c r="F37" s="16"/>
      <c r="G37" s="16">
        <f>G13-G24</f>
        <v>6451.1200000000008</v>
      </c>
      <c r="H37" s="32">
        <f>H13-H24</f>
        <v>-4951.1200000000008</v>
      </c>
      <c r="I37" s="16"/>
      <c r="K37" s="19" t="s">
        <v>72</v>
      </c>
      <c r="L37" s="16">
        <v>400</v>
      </c>
      <c r="M37" s="16">
        <v>0</v>
      </c>
      <c r="N37" s="75">
        <v>0</v>
      </c>
      <c r="O37" s="16">
        <f t="shared" si="12"/>
        <v>0</v>
      </c>
      <c r="P37" s="32">
        <f t="shared" si="13"/>
        <v>400</v>
      </c>
      <c r="Q37" s="16">
        <f t="shared" si="14"/>
        <v>-400</v>
      </c>
      <c r="R37" s="19"/>
    </row>
    <row r="38" spans="1:18" x14ac:dyDescent="0.25">
      <c r="B38" s="19" t="s">
        <v>8</v>
      </c>
      <c r="C38" s="16">
        <f>C14-C25</f>
        <v>0</v>
      </c>
      <c r="D38" s="16">
        <f>D14-D25</f>
        <v>0</v>
      </c>
      <c r="E38" s="16"/>
      <c r="F38" s="75"/>
      <c r="G38" s="16">
        <f>G14-G25</f>
        <v>2842.1699999999983</v>
      </c>
      <c r="H38" s="32">
        <f>H14-H25</f>
        <v>-2351.0699999999997</v>
      </c>
      <c r="I38" s="16"/>
      <c r="K38" s="19" t="s">
        <v>73</v>
      </c>
      <c r="L38" s="16">
        <v>500</v>
      </c>
      <c r="M38" s="16">
        <v>0</v>
      </c>
      <c r="N38" s="75">
        <v>0</v>
      </c>
      <c r="O38" s="16">
        <f t="shared" si="12"/>
        <v>0</v>
      </c>
      <c r="P38" s="32">
        <f t="shared" si="13"/>
        <v>500</v>
      </c>
      <c r="Q38" s="16">
        <f t="shared" si="14"/>
        <v>-500</v>
      </c>
      <c r="R38" s="19"/>
    </row>
    <row r="39" spans="1:18" x14ac:dyDescent="0.25">
      <c r="B39" s="20" t="s">
        <v>136</v>
      </c>
      <c r="C39" s="21">
        <f>C15</f>
        <v>0</v>
      </c>
      <c r="D39" s="21">
        <f>D15</f>
        <v>3000</v>
      </c>
      <c r="E39" s="21"/>
      <c r="F39" s="21"/>
      <c r="G39" s="21">
        <f>G15</f>
        <v>0</v>
      </c>
      <c r="H39" s="71">
        <f>H15</f>
        <v>3000</v>
      </c>
      <c r="I39" s="21"/>
      <c r="K39" s="19" t="s">
        <v>118</v>
      </c>
      <c r="L39" s="16">
        <v>100</v>
      </c>
      <c r="M39" s="16">
        <v>0</v>
      </c>
      <c r="N39" s="75">
        <v>0</v>
      </c>
      <c r="O39" s="16">
        <f t="shared" si="12"/>
        <v>0</v>
      </c>
      <c r="P39" s="32">
        <f t="shared" si="13"/>
        <v>100</v>
      </c>
      <c r="Q39" s="16">
        <f t="shared" si="14"/>
        <v>-100</v>
      </c>
      <c r="R39" s="19"/>
    </row>
    <row r="40" spans="1:18" ht="13.8" thickBot="1" x14ac:dyDescent="0.3">
      <c r="B40" s="67" t="s">
        <v>146</v>
      </c>
      <c r="C40" s="18">
        <f>SUM(C29:C39)</f>
        <v>29741</v>
      </c>
      <c r="D40" s="18">
        <f>SUM(D29:D39)</f>
        <v>31873.25</v>
      </c>
      <c r="E40" s="18"/>
      <c r="F40" s="18"/>
      <c r="G40" s="18">
        <f>SUM(G29:G39)</f>
        <v>20575.34</v>
      </c>
      <c r="H40" s="72">
        <f>SUM(H29:H39)</f>
        <v>10847.189999999999</v>
      </c>
      <c r="I40" s="18"/>
      <c r="K40" s="19" t="s">
        <v>74</v>
      </c>
      <c r="L40" s="16">
        <v>500</v>
      </c>
      <c r="M40" s="16">
        <v>0</v>
      </c>
      <c r="N40" s="75">
        <v>0</v>
      </c>
      <c r="O40" s="16">
        <f t="shared" si="12"/>
        <v>0</v>
      </c>
      <c r="P40" s="32">
        <f t="shared" si="13"/>
        <v>500</v>
      </c>
      <c r="Q40" s="16">
        <f t="shared" si="14"/>
        <v>-500</v>
      </c>
      <c r="R40" s="19"/>
    </row>
    <row r="41" spans="1:18" ht="13.8" thickTop="1" x14ac:dyDescent="0.25">
      <c r="B41" s="74"/>
      <c r="C41" s="57"/>
      <c r="D41" s="57"/>
      <c r="E41" s="57"/>
      <c r="F41" s="57"/>
      <c r="G41" s="57"/>
      <c r="H41" s="57"/>
      <c r="I41" s="57"/>
      <c r="K41" s="19" t="s">
        <v>101</v>
      </c>
      <c r="L41" s="16">
        <v>1000</v>
      </c>
      <c r="M41" s="16">
        <v>303.45999999999998</v>
      </c>
      <c r="N41" s="75">
        <v>0</v>
      </c>
      <c r="O41" s="16">
        <f t="shared" si="12"/>
        <v>303.45999999999998</v>
      </c>
      <c r="P41" s="32">
        <f t="shared" si="13"/>
        <v>696.54</v>
      </c>
      <c r="Q41" s="16">
        <f t="shared" si="14"/>
        <v>-696.54</v>
      </c>
      <c r="R41" s="19"/>
    </row>
    <row r="42" spans="1:18" x14ac:dyDescent="0.25">
      <c r="A42" s="19"/>
      <c r="B42" s="17" t="s">
        <v>131</v>
      </c>
      <c r="C42" s="16"/>
      <c r="D42" s="16"/>
      <c r="E42" s="16"/>
      <c r="F42" s="16"/>
      <c r="G42" s="16"/>
      <c r="H42" s="16"/>
      <c r="I42" s="16"/>
      <c r="J42" s="19"/>
      <c r="K42" s="20" t="s">
        <v>1</v>
      </c>
      <c r="L42" s="21">
        <v>5000</v>
      </c>
      <c r="M42" s="21">
        <v>0</v>
      </c>
      <c r="N42" s="77">
        <v>0</v>
      </c>
      <c r="O42" s="21">
        <f t="shared" si="12"/>
        <v>0</v>
      </c>
      <c r="P42" s="71">
        <f t="shared" si="13"/>
        <v>5000</v>
      </c>
      <c r="Q42" s="21">
        <f t="shared" si="14"/>
        <v>-5000</v>
      </c>
      <c r="R42" s="19"/>
    </row>
    <row r="43" spans="1:18" ht="13.8" thickBot="1" x14ac:dyDescent="0.3">
      <c r="A43" s="19"/>
      <c r="B43" s="17" t="s">
        <v>132</v>
      </c>
      <c r="C43" s="16"/>
      <c r="D43" s="16"/>
      <c r="E43" s="16"/>
      <c r="F43" s="16"/>
      <c r="G43" s="16"/>
      <c r="H43" s="16"/>
      <c r="I43" s="16"/>
      <c r="J43" s="19"/>
      <c r="K43" s="68" t="s">
        <v>100</v>
      </c>
      <c r="L43" s="18">
        <f t="shared" ref="L43:Q43" si="15">SUM(L5:L42)</f>
        <v>43581.19</v>
      </c>
      <c r="M43" s="18">
        <f t="shared" si="15"/>
        <v>7304.55</v>
      </c>
      <c r="N43" s="18">
        <f t="shared" si="15"/>
        <v>2054.09</v>
      </c>
      <c r="O43" s="18">
        <f t="shared" si="15"/>
        <v>9358.64</v>
      </c>
      <c r="P43" s="72">
        <f t="shared" si="15"/>
        <v>34222.550000000003</v>
      </c>
      <c r="Q43" s="18">
        <f t="shared" si="15"/>
        <v>-34222.550000000003</v>
      </c>
      <c r="R43" s="19"/>
    </row>
    <row r="44" spans="1:18" ht="13.8" thickTop="1" x14ac:dyDescent="0.25">
      <c r="A44" s="19"/>
      <c r="B44" s="47"/>
      <c r="C44" s="57"/>
      <c r="D44" s="57"/>
      <c r="E44" s="57"/>
      <c r="F44" s="57"/>
      <c r="G44" s="57"/>
      <c r="H44" s="57"/>
      <c r="I44" s="57"/>
      <c r="J44" s="19"/>
      <c r="L44" s="15"/>
      <c r="N44" s="15"/>
      <c r="O44" s="15"/>
      <c r="P44" s="15"/>
      <c r="Q44" s="15"/>
      <c r="R44" s="19"/>
    </row>
    <row r="45" spans="1:18" x14ac:dyDescent="0.25">
      <c r="A45" s="19"/>
      <c r="B45" s="19"/>
      <c r="C45" s="19"/>
      <c r="D45" s="19"/>
      <c r="E45" s="19"/>
      <c r="F45" s="19"/>
      <c r="G45" s="19" t="s">
        <v>98</v>
      </c>
      <c r="H45" s="19"/>
      <c r="I45" s="19"/>
      <c r="J45" s="19"/>
      <c r="K45" s="14"/>
      <c r="L45" s="16"/>
      <c r="N45" s="16"/>
      <c r="O45" s="16"/>
      <c r="P45" s="16"/>
      <c r="Q45" s="16"/>
    </row>
    <row r="46" spans="1:18" x14ac:dyDescent="0.25">
      <c r="G46" s="13"/>
      <c r="H46" s="13"/>
      <c r="K46" s="14"/>
      <c r="L46" s="16"/>
      <c r="M46" s="16"/>
      <c r="N46" s="16"/>
      <c r="O46" s="16"/>
      <c r="P46" s="16"/>
      <c r="Q46" s="16"/>
    </row>
    <row r="47" spans="1:18" x14ac:dyDescent="0.25">
      <c r="K47" s="74"/>
      <c r="L47" s="15"/>
      <c r="M47" s="16"/>
      <c r="N47" s="16"/>
      <c r="O47" s="16"/>
      <c r="P47" s="16"/>
      <c r="Q47" s="16"/>
    </row>
    <row r="48" spans="1:18" x14ac:dyDescent="0.25">
      <c r="C48" s="13"/>
      <c r="D48" s="13"/>
      <c r="E48" s="13"/>
      <c r="H48" s="13">
        <f>H16-H26</f>
        <v>10847.189999999999</v>
      </c>
      <c r="K48" s="74"/>
      <c r="L48" s="57"/>
      <c r="M48" s="57"/>
      <c r="N48" s="57"/>
      <c r="O48" s="57"/>
      <c r="P48" s="57"/>
      <c r="Q48" s="57"/>
    </row>
    <row r="49" spans="13:17" x14ac:dyDescent="0.25">
      <c r="M49" s="19"/>
      <c r="N49" s="19"/>
      <c r="O49" s="19"/>
      <c r="P49" s="19"/>
      <c r="Q49" s="19"/>
    </row>
  </sheetData>
  <pageMargins left="0.75" right="0.75" top="1" bottom="1" header="0.5" footer="0.5"/>
  <pageSetup scale="58" orientation="landscape" horizontalDpi="2400" verticalDpi="24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G35" sqref="G35"/>
    </sheetView>
  </sheetViews>
  <sheetFormatPr defaultColWidth="11.44140625" defaultRowHeight="13.2" x14ac:dyDescent="0.25"/>
  <cols>
    <col min="1" max="1" width="11.44140625" style="33"/>
    <col min="2" max="2" width="16.6640625" style="33" customWidth="1"/>
    <col min="3" max="3" width="1" style="33" customWidth="1"/>
    <col min="4" max="4" width="9.6640625" style="33" bestFit="1" customWidth="1"/>
    <col min="5" max="5" width="2.6640625" style="33" bestFit="1" customWidth="1"/>
    <col min="6" max="6" width="19.44140625" style="33" customWidth="1"/>
    <col min="7" max="7" width="11.5546875" style="33" customWidth="1"/>
    <col min="8" max="8" width="9" style="64" bestFit="1" customWidth="1"/>
    <col min="9" max="9" width="11.44140625" style="33"/>
    <col min="10" max="10" width="11.33203125" style="33" bestFit="1" customWidth="1"/>
    <col min="11" max="16384" width="11.44140625" style="33"/>
  </cols>
  <sheetData>
    <row r="1" spans="1:10" x14ac:dyDescent="0.25">
      <c r="A1" s="36" t="s">
        <v>53</v>
      </c>
      <c r="B1" s="36"/>
      <c r="C1" s="36"/>
      <c r="D1" s="36"/>
      <c r="E1" s="36"/>
      <c r="F1" s="36"/>
      <c r="G1" s="36"/>
    </row>
    <row r="2" spans="1:10" x14ac:dyDescent="0.25">
      <c r="A2" s="36" t="s">
        <v>115</v>
      </c>
      <c r="B2" s="36"/>
      <c r="C2" s="36"/>
      <c r="D2" s="36"/>
      <c r="E2" s="36"/>
      <c r="F2" s="36"/>
      <c r="G2" s="36"/>
    </row>
    <row r="4" spans="1:10" x14ac:dyDescent="0.25">
      <c r="B4" s="17" t="s">
        <v>61</v>
      </c>
      <c r="C4" s="17"/>
      <c r="D4" s="37">
        <v>41639</v>
      </c>
      <c r="E4" s="25" t="s">
        <v>54</v>
      </c>
      <c r="F4" s="37">
        <v>41698</v>
      </c>
    </row>
    <row r="6" spans="1:10" x14ac:dyDescent="0.25">
      <c r="B6" s="50" t="s">
        <v>139</v>
      </c>
      <c r="C6" s="50"/>
      <c r="D6" s="50"/>
      <c r="E6" s="50"/>
      <c r="F6" s="49"/>
      <c r="G6" s="49">
        <v>27638.19</v>
      </c>
      <c r="H6" s="64" t="s">
        <v>68</v>
      </c>
      <c r="I6" s="38"/>
    </row>
    <row r="7" spans="1:10" x14ac:dyDescent="0.25">
      <c r="F7" s="38"/>
      <c r="G7" s="38"/>
      <c r="I7" s="38"/>
    </row>
    <row r="8" spans="1:10" x14ac:dyDescent="0.25">
      <c r="B8" s="17" t="s">
        <v>91</v>
      </c>
      <c r="F8" s="38"/>
      <c r="G8" s="39"/>
    </row>
    <row r="9" spans="1:10" x14ac:dyDescent="0.25">
      <c r="A9" s="17"/>
      <c r="B9" s="45" t="s">
        <v>144</v>
      </c>
      <c r="C9" s="45"/>
      <c r="D9" s="45"/>
      <c r="E9" s="45"/>
      <c r="F9" s="40"/>
      <c r="G9" s="42">
        <v>1032.25</v>
      </c>
    </row>
    <row r="10" spans="1:10" x14ac:dyDescent="0.25">
      <c r="A10" s="17"/>
      <c r="B10" s="79" t="s">
        <v>82</v>
      </c>
      <c r="C10" s="43"/>
      <c r="D10" s="43"/>
      <c r="E10" s="43"/>
      <c r="F10" s="42"/>
      <c r="G10" s="42">
        <f>[1]Sheet1!$D$74+[1]Sheet1!$D$75</f>
        <v>835</v>
      </c>
      <c r="H10" s="65"/>
    </row>
    <row r="11" spans="1:10" x14ac:dyDescent="0.25">
      <c r="A11" s="17"/>
      <c r="B11" s="43" t="s">
        <v>2</v>
      </c>
      <c r="C11" s="43"/>
      <c r="D11" s="43"/>
      <c r="E11" s="43"/>
      <c r="F11" s="42"/>
      <c r="G11" s="42">
        <f>[1]Sheet1!$P$76</f>
        <v>1090.33</v>
      </c>
    </row>
    <row r="12" spans="1:10" x14ac:dyDescent="0.25">
      <c r="B12" s="43" t="s">
        <v>11</v>
      </c>
      <c r="C12" s="43"/>
      <c r="D12" s="43"/>
      <c r="E12" s="43"/>
      <c r="F12" s="42"/>
      <c r="G12" s="42">
        <f>[1]Sheet1!$D$77</f>
        <v>450.9</v>
      </c>
      <c r="J12" s="38"/>
    </row>
    <row r="13" spans="1:10" x14ac:dyDescent="0.25">
      <c r="B13" s="44" t="s">
        <v>141</v>
      </c>
      <c r="C13" s="44"/>
      <c r="D13" s="44"/>
      <c r="E13" s="44"/>
      <c r="F13" s="39"/>
      <c r="G13" s="39">
        <f>[1]Sheet1!$D$79+[1]Sheet1!$D$78</f>
        <v>5946.15</v>
      </c>
      <c r="J13" s="38"/>
    </row>
    <row r="14" spans="1:10" x14ac:dyDescent="0.25">
      <c r="B14" s="50" t="s">
        <v>86</v>
      </c>
      <c r="C14" s="59"/>
      <c r="D14" s="59"/>
      <c r="E14" s="59"/>
      <c r="F14" s="58"/>
      <c r="G14" s="49">
        <f>SUM(G9:G13)</f>
        <v>9354.6299999999992</v>
      </c>
      <c r="H14" s="64" t="s">
        <v>57</v>
      </c>
      <c r="J14" s="38"/>
    </row>
    <row r="15" spans="1:10" x14ac:dyDescent="0.25">
      <c r="B15" s="17"/>
      <c r="F15" s="38"/>
      <c r="G15" s="46"/>
      <c r="J15" s="38"/>
    </row>
    <row r="16" spans="1:10" x14ac:dyDescent="0.25">
      <c r="A16" s="17"/>
      <c r="B16" s="17" t="s">
        <v>90</v>
      </c>
      <c r="F16" s="38"/>
      <c r="G16" s="38"/>
      <c r="J16" s="38"/>
    </row>
    <row r="17" spans="1:10" x14ac:dyDescent="0.25">
      <c r="A17" s="17"/>
      <c r="B17" s="51" t="s">
        <v>92</v>
      </c>
      <c r="C17" s="52"/>
      <c r="D17" s="52"/>
      <c r="E17" s="52"/>
      <c r="F17" s="53"/>
      <c r="G17" s="53"/>
      <c r="J17" s="38"/>
    </row>
    <row r="18" spans="1:10" x14ac:dyDescent="0.25">
      <c r="A18" s="17"/>
      <c r="B18" s="43" t="s">
        <v>76</v>
      </c>
      <c r="C18" s="43"/>
      <c r="D18" s="43"/>
      <c r="E18" s="43"/>
      <c r="F18" s="42"/>
      <c r="G18" s="42">
        <f>[1]Sheet1!$F$59+[1]Sheet1!$F$60+[1]Sheet1!$F$62+[1]Sheet1!$P$68+[1]Sheet1!$F$71</f>
        <v>1895.4099999999999</v>
      </c>
      <c r="J18" s="38"/>
    </row>
    <row r="19" spans="1:10" x14ac:dyDescent="0.25">
      <c r="A19" s="17"/>
      <c r="B19" s="43" t="s">
        <v>7</v>
      </c>
      <c r="C19" s="43"/>
      <c r="D19" s="43"/>
      <c r="E19" s="43"/>
      <c r="F19" s="42"/>
      <c r="G19" s="42">
        <f>[1]Sheet1!$F$65+[1]Sheet1!$N$68+[1]Sheet1!$F$73</f>
        <v>1578.7199999999998</v>
      </c>
      <c r="H19" s="66"/>
      <c r="J19" s="38"/>
    </row>
    <row r="20" spans="1:10" x14ac:dyDescent="0.25">
      <c r="A20" s="17"/>
      <c r="B20" s="43" t="s">
        <v>52</v>
      </c>
      <c r="C20" s="43"/>
      <c r="D20" s="43"/>
      <c r="E20" s="43"/>
      <c r="F20" s="42"/>
      <c r="G20" s="42">
        <f>[1]Sheet1!$F$66+[1]Sheet1!$F$67</f>
        <v>139.56</v>
      </c>
    </row>
    <row r="21" spans="1:10" x14ac:dyDescent="0.25">
      <c r="A21" s="17"/>
      <c r="B21" s="43" t="s">
        <v>82</v>
      </c>
      <c r="C21" s="43"/>
      <c r="D21" s="43"/>
      <c r="E21" s="43"/>
      <c r="F21" s="42"/>
      <c r="G21" s="42">
        <f>[1]Sheet1!$F$61</f>
        <v>587.53</v>
      </c>
      <c r="H21" s="66"/>
      <c r="J21" s="38"/>
    </row>
    <row r="22" spans="1:10" x14ac:dyDescent="0.25">
      <c r="A22" s="17"/>
      <c r="B22" s="54" t="s">
        <v>15</v>
      </c>
      <c r="C22" s="55"/>
      <c r="D22" s="55"/>
      <c r="E22" s="55"/>
      <c r="F22" s="56"/>
      <c r="G22" s="56"/>
      <c r="J22" s="38"/>
    </row>
    <row r="23" spans="1:10" x14ac:dyDescent="0.25">
      <c r="A23" s="17"/>
      <c r="B23" s="43" t="s">
        <v>81</v>
      </c>
      <c r="C23" s="43"/>
      <c r="D23" s="43"/>
      <c r="E23" s="43"/>
      <c r="F23" s="42"/>
      <c r="G23" s="42">
        <f>[1]Sheet1!$F$58+[1]Sheet1!$F$64+[1]Sheet1!$F$70+[1]Sheet1!$F$57</f>
        <v>637.09</v>
      </c>
      <c r="J23" s="38"/>
    </row>
    <row r="24" spans="1:10" x14ac:dyDescent="0.25">
      <c r="A24" s="17"/>
      <c r="B24" s="43" t="s">
        <v>128</v>
      </c>
      <c r="C24" s="43"/>
      <c r="D24" s="43"/>
      <c r="E24" s="43"/>
      <c r="F24" s="42"/>
      <c r="G24" s="42">
        <f>[1]Sheet1!$F$72+[1]Sheet1!$F$69+[1]Sheet1!$F$63</f>
        <v>1417</v>
      </c>
      <c r="J24" s="38"/>
    </row>
    <row r="25" spans="1:10" x14ac:dyDescent="0.25">
      <c r="A25" s="17"/>
      <c r="B25" s="50" t="s">
        <v>55</v>
      </c>
      <c r="C25" s="59"/>
      <c r="D25" s="59"/>
      <c r="E25" s="59"/>
      <c r="F25" s="58"/>
      <c r="G25" s="49">
        <f>SUM(G18:G24)</f>
        <v>6255.3099999999995</v>
      </c>
      <c r="H25" s="64" t="s">
        <v>58</v>
      </c>
      <c r="J25" s="38"/>
    </row>
    <row r="26" spans="1:10" x14ac:dyDescent="0.25">
      <c r="A26" s="17"/>
      <c r="F26" s="38"/>
      <c r="G26" s="38"/>
      <c r="J26" s="38"/>
    </row>
    <row r="27" spans="1:10" x14ac:dyDescent="0.25">
      <c r="B27" s="50" t="s">
        <v>143</v>
      </c>
      <c r="C27" s="50"/>
      <c r="D27" s="50"/>
      <c r="E27" s="50"/>
      <c r="F27" s="49"/>
      <c r="G27" s="49">
        <f>G6+G14-G25</f>
        <v>30737.510000000002</v>
      </c>
      <c r="H27" s="64" t="s">
        <v>62</v>
      </c>
    </row>
    <row r="28" spans="1:10" x14ac:dyDescent="0.25">
      <c r="A28" s="17"/>
      <c r="F28" s="38"/>
      <c r="G28" s="38"/>
      <c r="H28" s="65"/>
    </row>
    <row r="29" spans="1:10" x14ac:dyDescent="0.25">
      <c r="A29" s="17"/>
      <c r="B29" s="17" t="s">
        <v>140</v>
      </c>
      <c r="G29" s="38">
        <v>30737.51</v>
      </c>
    </row>
    <row r="30" spans="1:10" x14ac:dyDescent="0.25">
      <c r="B30" s="17" t="s">
        <v>106</v>
      </c>
      <c r="G30" s="42">
        <v>0</v>
      </c>
    </row>
    <row r="31" spans="1:10" x14ac:dyDescent="0.25">
      <c r="B31" s="50" t="s">
        <v>109</v>
      </c>
      <c r="C31" s="50"/>
      <c r="D31" s="50"/>
      <c r="E31" s="50"/>
      <c r="F31" s="49"/>
      <c r="G31" s="49">
        <f>G29-G30</f>
        <v>30737.51</v>
      </c>
      <c r="H31" s="64" t="s">
        <v>59</v>
      </c>
    </row>
    <row r="32" spans="1:10" x14ac:dyDescent="0.25">
      <c r="F32" s="38"/>
      <c r="G32" s="38"/>
    </row>
    <row r="33" spans="1:10" x14ac:dyDescent="0.25">
      <c r="B33" s="50" t="s">
        <v>110</v>
      </c>
      <c r="C33" s="50"/>
      <c r="D33" s="50"/>
      <c r="E33" s="50"/>
      <c r="F33" s="49"/>
      <c r="G33" s="49">
        <f>'2013-2014 Budget 28Feb14'!H40</f>
        <v>10847.189999999999</v>
      </c>
      <c r="H33" s="64" t="s">
        <v>60</v>
      </c>
    </row>
    <row r="34" spans="1:10" x14ac:dyDescent="0.25">
      <c r="B34" s="47"/>
      <c r="C34" s="47"/>
      <c r="D34" s="47"/>
      <c r="E34" s="47"/>
      <c r="F34" s="46"/>
      <c r="G34" s="46"/>
    </row>
    <row r="35" spans="1:10" x14ac:dyDescent="0.25">
      <c r="B35" s="50" t="s">
        <v>120</v>
      </c>
      <c r="C35" s="50"/>
      <c r="D35" s="50"/>
      <c r="E35" s="50"/>
      <c r="F35" s="49"/>
      <c r="G35" s="49">
        <f>-'2013-2014 Budget 28Feb14'!P43</f>
        <v>-34222.550000000003</v>
      </c>
      <c r="H35" s="64" t="s">
        <v>64</v>
      </c>
    </row>
    <row r="36" spans="1:10" x14ac:dyDescent="0.25">
      <c r="F36" s="38"/>
      <c r="G36" s="38"/>
      <c r="I36" s="38"/>
      <c r="J36" s="38"/>
    </row>
    <row r="37" spans="1:10" ht="13.8" thickBot="1" x14ac:dyDescent="0.3">
      <c r="B37" s="24" t="s">
        <v>56</v>
      </c>
      <c r="C37" s="35"/>
      <c r="D37" s="35"/>
      <c r="E37" s="35"/>
      <c r="F37" s="60"/>
      <c r="G37" s="61">
        <f>G31+G33+G35</f>
        <v>7362.1499999999942</v>
      </c>
      <c r="H37" s="64" t="s">
        <v>138</v>
      </c>
    </row>
    <row r="38" spans="1:10" ht="13.8" thickTop="1" x14ac:dyDescent="0.25"/>
    <row r="39" spans="1:10" x14ac:dyDescent="0.25">
      <c r="A39" s="17"/>
    </row>
    <row r="40" spans="1:10" x14ac:dyDescent="0.25">
      <c r="I40" s="41"/>
      <c r="J40" s="41"/>
    </row>
    <row r="41" spans="1:10" x14ac:dyDescent="0.25">
      <c r="J41" s="41"/>
    </row>
    <row r="42" spans="1:10" x14ac:dyDescent="0.25">
      <c r="J42" s="41"/>
    </row>
    <row r="44" spans="1:10" x14ac:dyDescent="0.25">
      <c r="A44" s="17"/>
    </row>
    <row r="46" spans="1:10" x14ac:dyDescent="0.25">
      <c r="I46" s="38"/>
    </row>
    <row r="47" spans="1:10" x14ac:dyDescent="0.25">
      <c r="I47" s="38"/>
    </row>
    <row r="59" spans="1:1" x14ac:dyDescent="0.25">
      <c r="A59" s="17"/>
    </row>
  </sheetData>
  <pageMargins left="0.75" right="0.75" top="1" bottom="1" header="0.5" footer="0.5"/>
  <pageSetup scale="87" orientation="portrait" horizontalDpi="2400" verticalDpi="2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workbookViewId="0">
      <selection activeCell="B55" sqref="B55"/>
    </sheetView>
  </sheetViews>
  <sheetFormatPr defaultColWidth="11.44140625" defaultRowHeight="13.2" x14ac:dyDescent="0.25"/>
  <cols>
    <col min="1" max="1" width="11.44140625" style="33"/>
    <col min="2" max="2" width="16.6640625" style="33" customWidth="1"/>
    <col min="3" max="3" width="1" style="33" customWidth="1"/>
    <col min="4" max="4" width="9.6640625" style="33" bestFit="1" customWidth="1"/>
    <col min="5" max="5" width="2.6640625" style="33" bestFit="1" customWidth="1"/>
    <col min="6" max="6" width="19.44140625" style="33" customWidth="1"/>
    <col min="7" max="7" width="11.5546875" style="33" customWidth="1"/>
    <col min="8" max="8" width="9.88671875" style="64" bestFit="1" customWidth="1"/>
    <col min="9" max="9" width="11.44140625" style="33"/>
    <col min="10" max="10" width="5.6640625" style="33" bestFit="1" customWidth="1"/>
    <col min="11" max="16384" width="11.44140625" style="33"/>
  </cols>
  <sheetData>
    <row r="1" spans="1:10" x14ac:dyDescent="0.25">
      <c r="A1" s="36" t="s">
        <v>53</v>
      </c>
      <c r="B1" s="36"/>
      <c r="C1" s="36"/>
      <c r="D1" s="36"/>
      <c r="E1" s="36"/>
      <c r="F1" s="36"/>
      <c r="G1" s="36"/>
    </row>
    <row r="2" spans="1:10" x14ac:dyDescent="0.25">
      <c r="A2" s="36" t="s">
        <v>115</v>
      </c>
      <c r="B2" s="36"/>
      <c r="C2" s="36"/>
      <c r="D2" s="36"/>
      <c r="E2" s="36"/>
      <c r="F2" s="36"/>
      <c r="G2" s="36"/>
    </row>
    <row r="4" spans="1:10" x14ac:dyDescent="0.25">
      <c r="B4" s="17" t="s">
        <v>61</v>
      </c>
      <c r="C4" s="17"/>
      <c r="D4" s="37">
        <v>41523</v>
      </c>
      <c r="E4" s="25" t="s">
        <v>54</v>
      </c>
      <c r="F4" s="37">
        <v>41577</v>
      </c>
    </row>
    <row r="6" spans="1:10" x14ac:dyDescent="0.25">
      <c r="B6" s="50" t="s">
        <v>77</v>
      </c>
      <c r="C6" s="50"/>
      <c r="D6" s="50"/>
      <c r="E6" s="50"/>
      <c r="F6" s="49"/>
      <c r="G6" s="49">
        <v>19139.93</v>
      </c>
      <c r="H6" s="64" t="s">
        <v>68</v>
      </c>
      <c r="I6" s="38"/>
    </row>
    <row r="7" spans="1:10" x14ac:dyDescent="0.25">
      <c r="F7" s="38"/>
      <c r="G7" s="38"/>
      <c r="I7" s="38"/>
    </row>
    <row r="8" spans="1:10" x14ac:dyDescent="0.25">
      <c r="B8" s="17" t="s">
        <v>91</v>
      </c>
      <c r="F8" s="38"/>
      <c r="G8" s="38"/>
    </row>
    <row r="9" spans="1:10" x14ac:dyDescent="0.25">
      <c r="A9" s="17"/>
      <c r="B9" s="45" t="s">
        <v>0</v>
      </c>
      <c r="C9" s="45"/>
      <c r="D9" s="45"/>
      <c r="E9" s="45"/>
      <c r="F9" s="40"/>
      <c r="G9" s="40">
        <f>9841.55+333.7</f>
        <v>10175.25</v>
      </c>
    </row>
    <row r="10" spans="1:10" x14ac:dyDescent="0.25">
      <c r="A10" s="17"/>
      <c r="B10" s="43" t="s">
        <v>79</v>
      </c>
      <c r="C10" s="43"/>
      <c r="D10" s="43"/>
      <c r="E10" s="43"/>
      <c r="F10" s="42"/>
      <c r="G10" s="42">
        <v>4910.75</v>
      </c>
    </row>
    <row r="11" spans="1:10" x14ac:dyDescent="0.25">
      <c r="A11" s="17"/>
      <c r="B11" s="44" t="s">
        <v>78</v>
      </c>
      <c r="C11" s="44"/>
      <c r="D11" s="44"/>
      <c r="E11" s="44"/>
      <c r="F11" s="39"/>
      <c r="G11" s="39">
        <v>8264.2999999999993</v>
      </c>
    </row>
    <row r="12" spans="1:10" x14ac:dyDescent="0.25">
      <c r="B12" s="50" t="s">
        <v>86</v>
      </c>
      <c r="C12" s="59"/>
      <c r="D12" s="59"/>
      <c r="E12" s="59"/>
      <c r="F12" s="58"/>
      <c r="G12" s="49">
        <f>SUM(G9:G11)</f>
        <v>23350.3</v>
      </c>
      <c r="H12" s="64" t="s">
        <v>57</v>
      </c>
      <c r="J12" s="38"/>
    </row>
    <row r="13" spans="1:10" x14ac:dyDescent="0.25">
      <c r="B13" s="17"/>
      <c r="F13" s="38"/>
      <c r="G13" s="46"/>
      <c r="J13" s="38"/>
    </row>
    <row r="14" spans="1:10" x14ac:dyDescent="0.25">
      <c r="B14" s="17" t="s">
        <v>90</v>
      </c>
      <c r="F14" s="38"/>
      <c r="G14" s="38"/>
      <c r="J14" s="38"/>
    </row>
    <row r="15" spans="1:10" x14ac:dyDescent="0.25">
      <c r="B15" s="51" t="s">
        <v>92</v>
      </c>
      <c r="C15" s="52"/>
      <c r="D15" s="52"/>
      <c r="E15" s="52"/>
      <c r="F15" s="53"/>
      <c r="G15" s="53"/>
      <c r="J15" s="38"/>
    </row>
    <row r="16" spans="1:10" x14ac:dyDescent="0.25">
      <c r="A16" s="17"/>
      <c r="B16" s="43" t="s">
        <v>76</v>
      </c>
      <c r="C16" s="43"/>
      <c r="D16" s="43"/>
      <c r="E16" s="43"/>
      <c r="F16" s="42"/>
      <c r="G16" s="42">
        <f>[1]Sheet1!$F$19+[1]Sheet1!$F$20</f>
        <v>1480.4699999999998</v>
      </c>
      <c r="J16" s="38"/>
    </row>
    <row r="17" spans="1:10" x14ac:dyDescent="0.25">
      <c r="A17" s="17"/>
      <c r="B17" s="43" t="s">
        <v>7</v>
      </c>
      <c r="C17" s="43"/>
      <c r="D17" s="43"/>
      <c r="E17" s="43"/>
      <c r="F17" s="42"/>
      <c r="G17" s="42">
        <f>[1]Sheet1!$F$18</f>
        <v>447.09</v>
      </c>
      <c r="J17" s="38"/>
    </row>
    <row r="18" spans="1:10" x14ac:dyDescent="0.25">
      <c r="A18" s="17"/>
      <c r="B18" s="43" t="s">
        <v>0</v>
      </c>
      <c r="C18" s="43"/>
      <c r="D18" s="43"/>
      <c r="E18" s="43"/>
      <c r="F18" s="42"/>
      <c r="G18" s="42">
        <f>[1]Sheet1!$F$8+[1]Sheet1!$F$9+[1]Sheet1!$F$10+[1]Sheet1!$F$11+[1]Sheet1!$F$12+[1]Sheet1!$F$13+[1]Sheet1!$F$14+[1]Sheet1!$F$15</f>
        <v>4877.95</v>
      </c>
      <c r="J18" s="38"/>
    </row>
    <row r="19" spans="1:10" x14ac:dyDescent="0.25">
      <c r="A19" s="17"/>
      <c r="B19" s="43" t="s">
        <v>81</v>
      </c>
      <c r="C19" s="43"/>
      <c r="D19" s="43"/>
      <c r="E19" s="43"/>
      <c r="F19" s="42"/>
      <c r="G19" s="42">
        <f>[1]Sheet1!$F$28+[1]Sheet1!$F$27+[1]Sheet1!$F$17</f>
        <v>600</v>
      </c>
      <c r="J19" s="38"/>
    </row>
    <row r="20" spans="1:10" x14ac:dyDescent="0.25">
      <c r="A20" s="17"/>
      <c r="B20" s="54" t="s">
        <v>15</v>
      </c>
      <c r="C20" s="55"/>
      <c r="D20" s="55"/>
      <c r="E20" s="55"/>
      <c r="F20" s="56"/>
      <c r="G20" s="56"/>
    </row>
    <row r="21" spans="1:10" x14ac:dyDescent="0.25">
      <c r="A21" s="17"/>
      <c r="B21" s="43" t="s">
        <v>28</v>
      </c>
      <c r="C21" s="43"/>
      <c r="D21" s="43"/>
      <c r="E21" s="43"/>
      <c r="F21" s="42"/>
      <c r="G21" s="42">
        <f>[1]Sheet1!$F$21</f>
        <v>849.5</v>
      </c>
    </row>
    <row r="22" spans="1:10" x14ac:dyDescent="0.25">
      <c r="A22" s="17"/>
      <c r="B22" s="54" t="s">
        <v>67</v>
      </c>
      <c r="C22" s="55"/>
      <c r="D22" s="55"/>
      <c r="E22" s="55"/>
      <c r="F22" s="56"/>
      <c r="G22" s="56"/>
    </row>
    <row r="23" spans="1:10" x14ac:dyDescent="0.25">
      <c r="B23" s="43" t="s">
        <v>75</v>
      </c>
      <c r="C23" s="43"/>
      <c r="D23" s="43"/>
      <c r="E23" s="43"/>
      <c r="F23" s="42"/>
      <c r="G23" s="42">
        <f>[1]Sheet1!$F$22</f>
        <v>491.78</v>
      </c>
    </row>
    <row r="24" spans="1:10" x14ac:dyDescent="0.25">
      <c r="B24" s="54" t="s">
        <v>80</v>
      </c>
      <c r="C24" s="55"/>
      <c r="D24" s="55"/>
      <c r="E24" s="55"/>
      <c r="F24" s="56"/>
      <c r="G24" s="56"/>
    </row>
    <row r="25" spans="1:10" x14ac:dyDescent="0.25">
      <c r="B25" s="44" t="s">
        <v>102</v>
      </c>
      <c r="C25" s="44"/>
      <c r="D25" s="44"/>
      <c r="E25" s="44"/>
      <c r="F25" s="39"/>
      <c r="G25" s="39">
        <f>20+86.8+6</f>
        <v>112.8</v>
      </c>
    </row>
    <row r="26" spans="1:10" x14ac:dyDescent="0.25">
      <c r="B26" s="50" t="s">
        <v>55</v>
      </c>
      <c r="C26" s="59"/>
      <c r="D26" s="59"/>
      <c r="E26" s="59"/>
      <c r="F26" s="58"/>
      <c r="G26" s="49">
        <f>SUM(G16:G25)</f>
        <v>8859.5899999999983</v>
      </c>
      <c r="H26" s="64" t="s">
        <v>58</v>
      </c>
    </row>
    <row r="27" spans="1:10" x14ac:dyDescent="0.25">
      <c r="F27" s="38"/>
      <c r="G27" s="38"/>
    </row>
    <row r="28" spans="1:10" ht="13.8" thickBot="1" x14ac:dyDescent="0.3">
      <c r="B28" s="24" t="s">
        <v>119</v>
      </c>
      <c r="C28" s="24"/>
      <c r="D28" s="24"/>
      <c r="E28" s="24"/>
      <c r="F28" s="61"/>
      <c r="G28" s="61">
        <f>G6+G12-G26</f>
        <v>33630.639999999999</v>
      </c>
      <c r="H28" s="64" t="s">
        <v>62</v>
      </c>
    </row>
    <row r="29" spans="1:10" ht="13.8" thickTop="1" x14ac:dyDescent="0.25">
      <c r="F29" s="38"/>
      <c r="G29" s="38"/>
      <c r="I29" s="38"/>
      <c r="J29" s="38"/>
    </row>
    <row r="30" spans="1:10" x14ac:dyDescent="0.25">
      <c r="B30" s="17" t="s">
        <v>93</v>
      </c>
      <c r="G30" s="38">
        <v>34482.639999999999</v>
      </c>
    </row>
    <row r="31" spans="1:10" x14ac:dyDescent="0.25">
      <c r="B31" s="17" t="s">
        <v>106</v>
      </c>
      <c r="G31" s="42">
        <f>200+200+452</f>
        <v>852</v>
      </c>
    </row>
    <row r="32" spans="1:10" x14ac:dyDescent="0.25">
      <c r="A32" s="17"/>
      <c r="B32" s="50" t="s">
        <v>109</v>
      </c>
      <c r="C32" s="50"/>
      <c r="D32" s="50"/>
      <c r="E32" s="50"/>
      <c r="F32" s="49"/>
      <c r="G32" s="49">
        <f>G30-G31</f>
        <v>33630.639999999999</v>
      </c>
      <c r="H32" s="64" t="s">
        <v>59</v>
      </c>
    </row>
    <row r="33" spans="1:10" x14ac:dyDescent="0.25">
      <c r="F33" s="38"/>
      <c r="G33" s="38"/>
      <c r="J33" s="41">
        <f>G32-G28</f>
        <v>0</v>
      </c>
    </row>
    <row r="34" spans="1:10" x14ac:dyDescent="0.25">
      <c r="B34" s="50" t="s">
        <v>110</v>
      </c>
      <c r="C34" s="50"/>
      <c r="D34" s="50"/>
      <c r="E34" s="50"/>
      <c r="F34" s="49"/>
      <c r="G34" s="49" t="e">
        <f>#REF!</f>
        <v>#REF!</v>
      </c>
      <c r="H34" s="64" t="s">
        <v>60</v>
      </c>
    </row>
    <row r="35" spans="1:10" x14ac:dyDescent="0.25">
      <c r="B35" s="47"/>
      <c r="C35" s="47"/>
      <c r="D35" s="47"/>
      <c r="E35" s="47"/>
      <c r="F35" s="46"/>
      <c r="G35" s="46"/>
    </row>
    <row r="36" spans="1:10" x14ac:dyDescent="0.25">
      <c r="B36" s="50" t="s">
        <v>120</v>
      </c>
      <c r="C36" s="50"/>
      <c r="D36" s="50"/>
      <c r="E36" s="50"/>
      <c r="F36" s="49"/>
      <c r="G36" s="49" t="e">
        <f>#REF!</f>
        <v>#REF!</v>
      </c>
      <c r="H36" s="64" t="s">
        <v>64</v>
      </c>
    </row>
    <row r="37" spans="1:10" x14ac:dyDescent="0.25">
      <c r="A37" s="17"/>
      <c r="F37" s="38"/>
      <c r="G37" s="38"/>
      <c r="I37" s="38"/>
    </row>
    <row r="38" spans="1:10" x14ac:dyDescent="0.25">
      <c r="B38" s="17" t="s">
        <v>103</v>
      </c>
      <c r="F38" s="38"/>
      <c r="G38" s="38"/>
    </row>
    <row r="39" spans="1:10" x14ac:dyDescent="0.25">
      <c r="B39" s="45" t="s">
        <v>65</v>
      </c>
      <c r="C39" s="45"/>
      <c r="D39" s="45"/>
      <c r="E39" s="45"/>
      <c r="F39" s="40"/>
      <c r="G39" s="40">
        <f>25000-3715.71-6000-10000-5000</f>
        <v>284.29000000000087</v>
      </c>
    </row>
    <row r="40" spans="1:10" x14ac:dyDescent="0.25">
      <c r="B40" s="43" t="s">
        <v>69</v>
      </c>
      <c r="C40" s="43"/>
      <c r="D40" s="43"/>
      <c r="E40" s="43"/>
      <c r="F40" s="42"/>
      <c r="G40" s="42">
        <v>3000</v>
      </c>
    </row>
    <row r="41" spans="1:10" x14ac:dyDescent="0.25">
      <c r="B41" s="43" t="s">
        <v>71</v>
      </c>
      <c r="C41" s="43"/>
      <c r="D41" s="43"/>
      <c r="E41" s="43"/>
      <c r="F41" s="42"/>
      <c r="G41" s="42">
        <v>2000</v>
      </c>
    </row>
    <row r="42" spans="1:10" x14ac:dyDescent="0.25">
      <c r="B42" s="43" t="s">
        <v>70</v>
      </c>
      <c r="C42" s="43"/>
      <c r="D42" s="43"/>
      <c r="E42" s="43"/>
      <c r="F42" s="42"/>
      <c r="G42" s="42">
        <v>600</v>
      </c>
    </row>
    <row r="43" spans="1:10" x14ac:dyDescent="0.25">
      <c r="B43" s="43" t="s">
        <v>72</v>
      </c>
      <c r="C43" s="43"/>
      <c r="D43" s="43"/>
      <c r="E43" s="43"/>
      <c r="F43" s="42"/>
      <c r="G43" s="42">
        <v>400</v>
      </c>
    </row>
    <row r="44" spans="1:10" x14ac:dyDescent="0.25">
      <c r="B44" s="43" t="s">
        <v>73</v>
      </c>
      <c r="C44" s="43"/>
      <c r="D44" s="43"/>
      <c r="E44" s="43"/>
      <c r="F44" s="42"/>
      <c r="G44" s="42">
        <v>500</v>
      </c>
    </row>
    <row r="45" spans="1:10" x14ac:dyDescent="0.25">
      <c r="B45" s="43" t="s">
        <v>118</v>
      </c>
      <c r="C45" s="43"/>
      <c r="D45" s="43"/>
      <c r="E45" s="43"/>
      <c r="F45" s="42"/>
      <c r="G45" s="42">
        <v>100</v>
      </c>
    </row>
    <row r="46" spans="1:10" x14ac:dyDescent="0.25">
      <c r="B46" s="43" t="s">
        <v>74</v>
      </c>
      <c r="C46" s="43"/>
      <c r="D46" s="43"/>
      <c r="E46" s="43"/>
      <c r="F46" s="42"/>
      <c r="G46" s="42">
        <v>500</v>
      </c>
    </row>
    <row r="47" spans="1:10" x14ac:dyDescent="0.25">
      <c r="B47" s="43" t="s">
        <v>101</v>
      </c>
      <c r="C47" s="43"/>
      <c r="D47" s="43"/>
      <c r="E47" s="43"/>
      <c r="F47" s="42"/>
      <c r="G47" s="42">
        <v>1000</v>
      </c>
    </row>
    <row r="48" spans="1:10" x14ac:dyDescent="0.25">
      <c r="B48" s="44" t="s">
        <v>1</v>
      </c>
      <c r="C48" s="44"/>
      <c r="D48" s="44"/>
      <c r="E48" s="44"/>
      <c r="F48" s="39"/>
      <c r="G48" s="39">
        <v>5000</v>
      </c>
    </row>
    <row r="49" spans="1:9" x14ac:dyDescent="0.25">
      <c r="B49" s="50" t="s">
        <v>114</v>
      </c>
      <c r="C49" s="59"/>
      <c r="D49" s="59"/>
      <c r="E49" s="59"/>
      <c r="F49" s="58"/>
      <c r="G49" s="49">
        <f>SUM(G39:G48)</f>
        <v>13384.29</v>
      </c>
      <c r="H49" s="64" t="s">
        <v>107</v>
      </c>
    </row>
    <row r="50" spans="1:9" x14ac:dyDescent="0.25">
      <c r="F50" s="38"/>
      <c r="G50" s="38"/>
    </row>
    <row r="51" spans="1:9" ht="13.8" thickBot="1" x14ac:dyDescent="0.3">
      <c r="B51" s="24" t="s">
        <v>56</v>
      </c>
      <c r="C51" s="35"/>
      <c r="D51" s="35"/>
      <c r="E51" s="35"/>
      <c r="F51" s="60"/>
      <c r="G51" s="61" t="e">
        <f>G32+G34-G36-G49</f>
        <v>#REF!</v>
      </c>
      <c r="H51" s="64" t="s">
        <v>108</v>
      </c>
    </row>
    <row r="52" spans="1:9" ht="13.8" thickTop="1" x14ac:dyDescent="0.25">
      <c r="A52" s="17"/>
      <c r="I52" s="38"/>
    </row>
    <row r="53" spans="1:9" x14ac:dyDescent="0.25">
      <c r="I53" s="38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2013-2014 Budget 31July14</vt:lpstr>
      <vt:lpstr>Cash Position as of 31July14</vt:lpstr>
      <vt:lpstr>Cash Position as of 31May14</vt:lpstr>
      <vt:lpstr>2013-2014 Budget 31May14</vt:lpstr>
      <vt:lpstr>2013-2014 Budget 30April14</vt:lpstr>
      <vt:lpstr>Cash Position as of 30April14</vt:lpstr>
      <vt:lpstr>2013-2014 Budget 28Feb14</vt:lpstr>
      <vt:lpstr>Cash Position as of 28Feb14</vt:lpstr>
      <vt:lpstr>Cash Position as of 30Oct13</vt:lpstr>
      <vt:lpstr>Cash Position as of 31Dec13</vt:lpstr>
      <vt:lpstr>Revenue</vt:lpstr>
      <vt:lpstr>Expenses</vt:lpstr>
      <vt:lpstr>Expenses!Print_Area</vt:lpstr>
      <vt:lpstr>Revenue!Print_Area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Steinmetz</dc:creator>
  <cp:lastModifiedBy>Starwood Hotels and Resorts Worldwide, Inc.</cp:lastModifiedBy>
  <cp:lastPrinted>2014-10-06T20:30:17Z</cp:lastPrinted>
  <dcterms:created xsi:type="dcterms:W3CDTF">2012-10-28T02:54:11Z</dcterms:created>
  <dcterms:modified xsi:type="dcterms:W3CDTF">2017-01-18T03:52:06Z</dcterms:modified>
</cp:coreProperties>
</file>