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0260" windowHeight="7500" activeTab="1"/>
  </bookViews>
  <sheets>
    <sheet name="Budget" sheetId="6" r:id="rId1"/>
    <sheet name="Ledger" sheetId="7" r:id="rId2"/>
    <sheet name="Bank Rec" sheetId="8" r:id="rId3"/>
    <sheet name="Treasurer Rpt" sheetId="9" r:id="rId4"/>
    <sheet name="Annual" sheetId="10" r:id="rId5"/>
    <sheet name="Sheet1" sheetId="11" r:id="rId6"/>
  </sheets>
  <definedNames>
    <definedName name="_xlnm.Print_Area" localSheetId="1">Ledger!$A$1:$K$105</definedName>
  </definedNames>
  <calcPr calcId="171027"/>
</workbook>
</file>

<file path=xl/calcChain.xml><?xml version="1.0" encoding="utf-8"?>
<calcChain xmlns="http://schemas.openxmlformats.org/spreadsheetml/2006/main">
  <c r="F20" i="9" l="1"/>
  <c r="F21" i="9"/>
  <c r="H19" i="8"/>
  <c r="G15" i="6"/>
  <c r="G22" i="6"/>
  <c r="F103" i="7"/>
  <c r="C103" i="7"/>
  <c r="B103" i="7"/>
  <c r="D102" i="7"/>
  <c r="D101" i="7"/>
  <c r="G37" i="6"/>
  <c r="F28" i="9"/>
  <c r="H26" i="8"/>
  <c r="J5" i="6"/>
  <c r="H5" i="6"/>
  <c r="I5" i="6" l="1"/>
  <c r="I37" i="6"/>
  <c r="I8" i="6"/>
  <c r="G5" i="6"/>
  <c r="I39" i="6"/>
  <c r="G30" i="6"/>
  <c r="G8" i="6"/>
  <c r="F1" i="7"/>
  <c r="F31" i="9" l="1"/>
  <c r="H24" i="9" l="1"/>
  <c r="H22" i="8"/>
  <c r="H28" i="8" s="1"/>
  <c r="G16" i="6"/>
  <c r="I9" i="6"/>
  <c r="I10" i="6"/>
  <c r="G53" i="6"/>
  <c r="G11" i="6"/>
  <c r="I11" i="6" s="1"/>
  <c r="I38" i="6"/>
  <c r="G51" i="6"/>
  <c r="I51" i="6" s="1"/>
  <c r="D92" i="7" l="1"/>
  <c r="D93" i="7"/>
  <c r="D94" i="7"/>
  <c r="D95" i="7"/>
  <c r="D96" i="7"/>
  <c r="D97" i="7"/>
  <c r="D91" i="7"/>
  <c r="D88" i="7"/>
  <c r="D87" i="7"/>
  <c r="D86" i="7"/>
  <c r="D85" i="7"/>
  <c r="D84" i="7"/>
  <c r="D83" i="7"/>
  <c r="D82" i="7"/>
  <c r="D81" i="7"/>
  <c r="D77" i="7"/>
  <c r="D76" i="7"/>
  <c r="I15" i="6"/>
  <c r="H17" i="10" s="1"/>
  <c r="I14" i="6"/>
  <c r="H16" i="10" s="1"/>
  <c r="I16" i="6"/>
  <c r="G54" i="6"/>
  <c r="D75" i="7"/>
  <c r="D74" i="7"/>
  <c r="D73" i="7"/>
  <c r="D72" i="7"/>
  <c r="D71" i="7"/>
  <c r="D70" i="7"/>
  <c r="I22" i="6" l="1"/>
  <c r="I53" i="6"/>
  <c r="I30" i="6"/>
  <c r="G49" i="6"/>
  <c r="I49" i="6" s="1"/>
  <c r="I54" i="6"/>
  <c r="I17" i="6" l="1"/>
  <c r="D59" i="7" l="1"/>
  <c r="H26" i="10"/>
  <c r="D51" i="7"/>
  <c r="D103" i="7" l="1"/>
  <c r="D37" i="7"/>
  <c r="D43" i="7"/>
  <c r="G18" i="6"/>
  <c r="D35" i="7"/>
  <c r="B36" i="7"/>
  <c r="B52" i="7" s="1"/>
  <c r="F52" i="7"/>
  <c r="C52" i="7"/>
  <c r="B11" i="9"/>
  <c r="D12" i="8"/>
  <c r="H10" i="10"/>
  <c r="H20" i="10"/>
  <c r="G6" i="7"/>
  <c r="C15" i="7"/>
  <c r="B15" i="7"/>
  <c r="F15" i="7"/>
  <c r="D28" i="7"/>
  <c r="D27" i="7"/>
  <c r="D36" i="7" l="1"/>
  <c r="D52" i="7"/>
  <c r="C29" i="7"/>
  <c r="B29" i="7"/>
  <c r="F25" i="7"/>
  <c r="F29" i="7" s="1"/>
  <c r="F105" i="7" s="1"/>
  <c r="D19" i="7"/>
  <c r="D25" i="7"/>
  <c r="D24" i="7"/>
  <c r="D23" i="7"/>
  <c r="D22" i="7"/>
  <c r="D21" i="7"/>
  <c r="D20" i="7"/>
  <c r="D29" i="7" l="1"/>
  <c r="I18" i="6"/>
  <c r="D10" i="7"/>
  <c r="D9" i="7"/>
  <c r="H48" i="10"/>
  <c r="H19" i="10"/>
  <c r="H14" i="10"/>
  <c r="H55" i="6"/>
  <c r="J55" i="6"/>
  <c r="J18" i="6"/>
  <c r="H18" i="6"/>
  <c r="G55" i="6" l="1"/>
  <c r="I32" i="6"/>
  <c r="I24" i="6"/>
  <c r="G32" i="6"/>
  <c r="G24" i="6"/>
  <c r="G26" i="6" s="1"/>
  <c r="D8" i="7"/>
  <c r="H36" i="10" l="1"/>
  <c r="I55" i="6"/>
  <c r="K55" i="6" s="1"/>
  <c r="I26" i="6"/>
  <c r="D7" i="7"/>
  <c r="I57" i="6" l="1"/>
  <c r="I59" i="6" s="1"/>
  <c r="I63" i="6" s="1"/>
  <c r="H55" i="10"/>
  <c r="D15" i="7"/>
  <c r="H29" i="10"/>
  <c r="H30" i="10"/>
  <c r="H31" i="10"/>
  <c r="H32" i="10"/>
  <c r="H33" i="10"/>
  <c r="H34" i="10"/>
  <c r="H35" i="10"/>
  <c r="H37" i="10"/>
  <c r="H38" i="10"/>
  <c r="H39" i="10"/>
  <c r="H40" i="10"/>
  <c r="H41" i="10"/>
  <c r="H42" i="10"/>
  <c r="H43" i="10"/>
  <c r="H44" i="10"/>
  <c r="H45" i="10"/>
  <c r="H46" i="10"/>
  <c r="H47" i="10"/>
  <c r="H27" i="10"/>
  <c r="H28" i="10"/>
  <c r="H21" i="10"/>
  <c r="H22" i="10"/>
  <c r="H11" i="10"/>
  <c r="H12" i="10"/>
  <c r="H13" i="10"/>
  <c r="H15" i="10"/>
  <c r="H18" i="10"/>
  <c r="H7" i="10"/>
  <c r="H84" i="10"/>
  <c r="H76" i="10"/>
  <c r="G15" i="7" l="1"/>
  <c r="G29" i="7" s="1"/>
  <c r="G30" i="7" s="1"/>
  <c r="G31" i="7" s="1"/>
  <c r="G32" i="7" s="1"/>
  <c r="D105" i="7"/>
  <c r="G105" i="7" s="1"/>
  <c r="H49" i="10"/>
  <c r="H23" i="10"/>
  <c r="H42" i="9"/>
  <c r="G52" i="7" l="1"/>
  <c r="G53" i="7" s="1"/>
  <c r="H45" i="9"/>
  <c r="H52" i="10"/>
  <c r="H59" i="10" s="1"/>
  <c r="J32" i="6"/>
  <c r="J57" i="6" s="1"/>
  <c r="J24" i="6"/>
  <c r="J26" i="6" s="1"/>
  <c r="G57" i="6"/>
  <c r="G59" i="6" s="1"/>
  <c r="G63" i="6" s="1"/>
  <c r="G7" i="7"/>
  <c r="G8" i="7" s="1"/>
  <c r="G9" i="7" s="1"/>
  <c r="G10" i="7" s="1"/>
  <c r="G11" i="7" s="1"/>
  <c r="G12" i="7" s="1"/>
  <c r="G13" i="7" s="1"/>
  <c r="G14" i="7" s="1"/>
  <c r="G16" i="7" s="1"/>
  <c r="J59" i="6" l="1"/>
  <c r="J63" i="6" s="1"/>
  <c r="G103" i="7"/>
  <c r="G104" i="7" s="1"/>
  <c r="G54" i="7"/>
  <c r="G55" i="7" s="1"/>
  <c r="G56" i="7" s="1"/>
  <c r="G57" i="7" s="1"/>
  <c r="G58" i="7" s="1"/>
  <c r="G59" i="7" s="1"/>
  <c r="G60" i="7" s="1"/>
  <c r="G61" i="7" s="1"/>
  <c r="G62" i="7" s="1"/>
  <c r="G63" i="7" s="1"/>
  <c r="G64" i="7" s="1"/>
  <c r="G65" i="7" s="1"/>
  <c r="G66" i="7" s="1"/>
  <c r="G67" i="7" s="1"/>
  <c r="G68" i="7" s="1"/>
  <c r="G69" i="7" s="1"/>
  <c r="G70" i="7" s="1"/>
  <c r="G71" i="7" s="1"/>
  <c r="G72" i="7" s="1"/>
  <c r="G73" i="7" s="1"/>
  <c r="G74" i="7" s="1"/>
  <c r="G75" i="7" s="1"/>
  <c r="G76" i="7" s="1"/>
  <c r="G77" i="7" s="1"/>
  <c r="G78" i="7" s="1"/>
  <c r="G79" i="7" s="1"/>
  <c r="G80" i="7" s="1"/>
  <c r="G81" i="7" s="1"/>
  <c r="G82" i="7" s="1"/>
  <c r="G83" i="7" s="1"/>
  <c r="G84" i="7" s="1"/>
  <c r="G85" i="7" s="1"/>
  <c r="G86" i="7" s="1"/>
  <c r="G87" i="7" s="1"/>
  <c r="G88" i="7" s="1"/>
  <c r="G89" i="7" s="1"/>
  <c r="G90" i="7" s="1"/>
  <c r="G91" i="7" s="1"/>
  <c r="G92" i="7" s="1"/>
  <c r="G93" i="7" s="1"/>
  <c r="G94" i="7" s="1"/>
  <c r="G95" i="7" s="1"/>
  <c r="G96" i="7" s="1"/>
  <c r="G97" i="7" s="1"/>
  <c r="G98" i="7" s="1"/>
  <c r="G99" i="7" s="1"/>
  <c r="G100" i="7" s="1"/>
  <c r="G101" i="7" s="1"/>
  <c r="G102" i="7" s="1"/>
  <c r="G17" i="7"/>
  <c r="H24" i="6"/>
  <c r="G33" i="7" l="1"/>
  <c r="G34" i="7" s="1"/>
  <c r="G35" i="7" s="1"/>
  <c r="G36" i="7" s="1"/>
  <c r="G37" i="7" s="1"/>
  <c r="G18" i="7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H26" i="6"/>
  <c r="H32" i="6"/>
  <c r="G38" i="7" l="1"/>
  <c r="G39" i="7" s="1"/>
  <c r="G40" i="7" s="1"/>
  <c r="G41" i="7" s="1"/>
  <c r="G42" i="7" s="1"/>
  <c r="G43" i="7" s="1"/>
  <c r="G44" i="7" s="1"/>
  <c r="G45" i="7" s="1"/>
  <c r="G46" i="7" s="1"/>
  <c r="G47" i="7" s="1"/>
  <c r="G48" i="7" s="1"/>
  <c r="G49" i="7" s="1"/>
  <c r="G50" i="7" s="1"/>
  <c r="G51" i="7" s="1"/>
  <c r="H57" i="6"/>
  <c r="H59" i="6" s="1"/>
  <c r="H63" i="6" s="1"/>
</calcChain>
</file>

<file path=xl/comments1.xml><?xml version="1.0" encoding="utf-8"?>
<comments xmlns="http://schemas.openxmlformats.org/spreadsheetml/2006/main">
  <authors>
    <author>Owner</author>
  </authors>
  <commentList>
    <comment ref="G5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$150 added from cheq #88 not cashed feb26/15</t>
        </r>
      </text>
    </comment>
  </commentList>
</comments>
</file>

<file path=xl/comments2.xml><?xml version="1.0" encoding="utf-8"?>
<comments xmlns="http://schemas.openxmlformats.org/spreadsheetml/2006/main">
  <authors>
    <author>Owner</author>
    <author>Vivianne Rankin</author>
  </authors>
  <commentList>
    <comment ref="F1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cheq#88-$150 feb26 never cashed 
</t>
        </r>
      </text>
    </comment>
    <comment ref="L7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bank balance oct21
$18 cheque not signed</t>
        </r>
      </text>
    </comment>
    <comment ref="L10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balance 10/29</t>
        </r>
      </text>
    </comment>
    <comment ref="L23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balance on new acct 154723</t>
        </r>
      </text>
    </comment>
    <comment ref="L28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balance on new acct154723
</t>
        </r>
      </text>
    </comment>
    <comment ref="L36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dec 17</t>
        </r>
      </text>
    </comment>
    <comment ref="L43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balance jan13</t>
        </r>
      </text>
    </comment>
    <comment ref="L51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balance jan27</t>
        </r>
      </text>
    </comment>
    <comment ref="L59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balance feb10</t>
        </r>
      </text>
    </comment>
    <comment ref="L75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balance feb24</t>
        </r>
      </text>
    </comment>
    <comment ref="L88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balance mar1
</t>
        </r>
      </text>
    </comment>
    <comment ref="L92" authorId="1">
      <text>
        <r>
          <rPr>
            <b/>
            <sz val="9"/>
            <color indexed="81"/>
            <rFont val="Tahoma"/>
            <family val="2"/>
          </rPr>
          <t>Vivianne Rankin:</t>
        </r>
        <r>
          <rPr>
            <sz val="9"/>
            <color indexed="81"/>
            <rFont val="Tahoma"/>
            <family val="2"/>
          </rPr>
          <t xml:space="preserve">
Amt. transferred out to school account: $25175.68
</t>
        </r>
      </text>
    </comment>
    <comment ref="L99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balance mar10
</t>
        </r>
      </text>
    </comment>
    <comment ref="L102" author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balance mar23</t>
        </r>
      </text>
    </comment>
  </commentList>
</comments>
</file>

<file path=xl/sharedStrings.xml><?xml version="1.0" encoding="utf-8"?>
<sst xmlns="http://schemas.openxmlformats.org/spreadsheetml/2006/main" count="480" uniqueCount="286">
  <si>
    <t>Pizza Lunch</t>
  </si>
  <si>
    <t xml:space="preserve">Pizza Lunch </t>
  </si>
  <si>
    <t>Operating Expenses</t>
  </si>
  <si>
    <t>First Holy Communion</t>
  </si>
  <si>
    <t>Confirmation</t>
  </si>
  <si>
    <t>Halloween Dance</t>
  </si>
  <si>
    <t>JK Welcome</t>
  </si>
  <si>
    <t>Graduation</t>
  </si>
  <si>
    <t>Library Resources</t>
  </si>
  <si>
    <t>Athletic Development</t>
  </si>
  <si>
    <t>French resources</t>
  </si>
  <si>
    <t>Color keys program</t>
  </si>
  <si>
    <t>Musical Instruments repairs/new</t>
  </si>
  <si>
    <t>Classroom Materials ($200/each for 29 teachers)</t>
  </si>
  <si>
    <t>Academic Contests - Math (U of W)</t>
  </si>
  <si>
    <t>Principal's Discretionary Fund</t>
  </si>
  <si>
    <t>BUDGET</t>
  </si>
  <si>
    <t>Spring Carnival -  April/May</t>
  </si>
  <si>
    <t>Out All Night - Feb</t>
  </si>
  <si>
    <t>Bake Sale (Xmas Concert)</t>
  </si>
  <si>
    <t>50/50 Draw (Xmas Concert)</t>
  </si>
  <si>
    <t>Book Challenge</t>
  </si>
  <si>
    <t>Lunch Lady</t>
  </si>
  <si>
    <t>Catholic School Parent Council (CSPC) Account</t>
  </si>
  <si>
    <t>A</t>
  </si>
  <si>
    <t>Total Income</t>
  </si>
  <si>
    <t>B</t>
  </si>
  <si>
    <t>Bank Charges</t>
  </si>
  <si>
    <t>C</t>
  </si>
  <si>
    <t>Curriculum</t>
  </si>
  <si>
    <t>Fundraising Expense</t>
  </si>
  <si>
    <t>Balance</t>
  </si>
  <si>
    <t>Total Fundraising Expense</t>
  </si>
  <si>
    <t>Total Operating Expenses</t>
  </si>
  <si>
    <t>Grand Total Expenses</t>
  </si>
  <si>
    <t>Balance forward as at September 22, 2015</t>
  </si>
  <si>
    <t>Special Events Income</t>
  </si>
  <si>
    <t>Total Special Events Income</t>
  </si>
  <si>
    <t>Fundraising Income</t>
  </si>
  <si>
    <t>Total Fundraising Income</t>
  </si>
  <si>
    <t>Development Assets</t>
  </si>
  <si>
    <t>Float</t>
  </si>
  <si>
    <t>Scientist in the School (20 X $184/each)</t>
  </si>
  <si>
    <t>Balance Unallocated</t>
  </si>
  <si>
    <t>Deposit</t>
  </si>
  <si>
    <t>Withdrawal</t>
  </si>
  <si>
    <t>Running</t>
  </si>
  <si>
    <t>Date</t>
  </si>
  <si>
    <t>Cash</t>
  </si>
  <si>
    <t>Cheques</t>
  </si>
  <si>
    <t>Total</t>
  </si>
  <si>
    <t>Cheque#</t>
  </si>
  <si>
    <t>Amount</t>
  </si>
  <si>
    <t>Invoice</t>
  </si>
  <si>
    <t>Line Item</t>
  </si>
  <si>
    <t>To Who</t>
  </si>
  <si>
    <t>Description</t>
  </si>
  <si>
    <t>Starting Balance September 22/2015</t>
  </si>
  <si>
    <t>Presswood Entertainment</t>
  </si>
  <si>
    <t>CURRENT</t>
  </si>
  <si>
    <t>YTD</t>
  </si>
  <si>
    <t>CSPC</t>
  </si>
  <si>
    <t>Bank Reconciliation</t>
  </si>
  <si>
    <t>For the Period Ending:</t>
  </si>
  <si>
    <t>Balance on</t>
  </si>
  <si>
    <t>Last Balance shown on your bank statement:</t>
  </si>
  <si>
    <t>(A)</t>
  </si>
  <si>
    <t>Add: Outstanding Deposits</t>
  </si>
  <si>
    <t>From your accounting records, list all deposits or credits</t>
  </si>
  <si>
    <t>which do not appear on the bank statement</t>
  </si>
  <si>
    <t>(B)</t>
  </si>
  <si>
    <t>Subtotal A + B</t>
  </si>
  <si>
    <t>©</t>
  </si>
  <si>
    <t>Less: Oustanding Cheques</t>
  </si>
  <si>
    <t>From your accounting records, list all withdrawals/cheques/debits</t>
  </si>
  <si>
    <t>(D)</t>
  </si>
  <si>
    <t>Total C - D</t>
  </si>
  <si>
    <t>(E)</t>
  </si>
  <si>
    <t>(E) This balance should agree with the balance in your accounting records</t>
  </si>
  <si>
    <t>Balance in Accounting Records</t>
  </si>
  <si>
    <t>Principal</t>
  </si>
  <si>
    <t>CSPC Chair</t>
  </si>
  <si>
    <t>CSPC Treasurer</t>
  </si>
  <si>
    <t>Monthly Treasurer's Report</t>
  </si>
  <si>
    <t>School:</t>
  </si>
  <si>
    <t>St. John Catholic</t>
  </si>
  <si>
    <t xml:space="preserve">Month end </t>
  </si>
  <si>
    <t>Opening Cash Balance per Books</t>
  </si>
  <si>
    <t>Add: Sources of Revenue</t>
  </si>
  <si>
    <t>Total Revenue</t>
  </si>
  <si>
    <t>Less: Expenditures</t>
  </si>
  <si>
    <t>Bank charges</t>
  </si>
  <si>
    <t>Total Disbursements</t>
  </si>
  <si>
    <t>Funds Remaining per accounting records (A + B - C)</t>
  </si>
  <si>
    <t>Amount should equal (E) on Bank Reconciliation</t>
  </si>
  <si>
    <t>CSPC ANNUAL FINANCIAL REPORT TEMPLATE</t>
  </si>
  <si>
    <t>Name of School:</t>
  </si>
  <si>
    <t>Income/Sources of Revenue (see note 1 below)</t>
  </si>
  <si>
    <t>PRO Grant</t>
  </si>
  <si>
    <t>Expenses (see note 1 below)</t>
  </si>
  <si>
    <t>Total Expenses</t>
  </si>
  <si>
    <t>D=(A+B-C)</t>
  </si>
  <si>
    <t>Less: Committed Expenses</t>
  </si>
  <si>
    <t>E</t>
  </si>
  <si>
    <t>Balance of Funds Available to be carried forward</t>
  </si>
  <si>
    <t>F=(D-E)</t>
  </si>
  <si>
    <t>Note:</t>
  </si>
  <si>
    <t>1)          Listing of income and expenses should be detailed and listed by activity</t>
  </si>
  <si>
    <t>Additional Reporting For Parent Engagement Funds</t>
  </si>
  <si>
    <t>Parent Involvement</t>
  </si>
  <si>
    <t>Parent Involvement Base Funding</t>
  </si>
  <si>
    <t>Parent Involvement Expenses</t>
  </si>
  <si>
    <t>Net Parent Involvement Proceeds</t>
  </si>
  <si>
    <t>PRO Grant Funding</t>
  </si>
  <si>
    <t>PRO Grant Expenses</t>
  </si>
  <si>
    <t>Net PRO Grant Proceeds</t>
  </si>
  <si>
    <t>Pizza lunch</t>
  </si>
  <si>
    <t>Collection for start of the school year</t>
  </si>
  <si>
    <t xml:space="preserve">FOR THE PERIOD: SEPTEMBER 22, 2015 to MAY 30, 2016    </t>
  </si>
  <si>
    <t>St John Catholic School</t>
  </si>
  <si>
    <t xml:space="preserve">Balance </t>
  </si>
  <si>
    <t>(items approved by CSPC but not yet spent)</t>
  </si>
  <si>
    <t>YTD Totals</t>
  </si>
  <si>
    <t>Cross Country</t>
  </si>
  <si>
    <t>Swim Team</t>
  </si>
  <si>
    <t>late cheque</t>
  </si>
  <si>
    <t>Cross country</t>
  </si>
  <si>
    <t>collection for fees and shirts</t>
  </si>
  <si>
    <t>Pizza Nova lunch 10/30</t>
  </si>
  <si>
    <t>Eagle beaver</t>
  </si>
  <si>
    <t>Uniforms for cross country</t>
  </si>
  <si>
    <t>Oct Total</t>
  </si>
  <si>
    <t>Fee adjustment credit to account</t>
  </si>
  <si>
    <t>email 10/2</t>
  </si>
  <si>
    <t>NSF cheque</t>
  </si>
  <si>
    <t>001</t>
  </si>
  <si>
    <t>Good Foods</t>
  </si>
  <si>
    <t>pizza lunch oct30</t>
  </si>
  <si>
    <t>002</t>
  </si>
  <si>
    <t>Ms Martin</t>
  </si>
  <si>
    <t>she paid by personal MC for additional pizza</t>
  </si>
  <si>
    <t>Halloween dance</t>
  </si>
  <si>
    <t>online donations &amp; amount used to pay inv 2137</t>
  </si>
  <si>
    <t>Nov Total</t>
  </si>
  <si>
    <t>late deposit</t>
  </si>
  <si>
    <t>funds collected for event</t>
  </si>
  <si>
    <t>003</t>
  </si>
  <si>
    <t>J Arminen</t>
  </si>
  <si>
    <t>paid cash for extra pizza</t>
  </si>
  <si>
    <t>004</t>
  </si>
  <si>
    <t>online by amex cheque to Greg</t>
  </si>
  <si>
    <t>005</t>
  </si>
  <si>
    <t>donation to project hope</t>
  </si>
  <si>
    <t>NSF cheque charge</t>
  </si>
  <si>
    <t>Transactions as of:</t>
  </si>
  <si>
    <t>006</t>
  </si>
  <si>
    <t>pizza lunch nov27</t>
  </si>
  <si>
    <t>007</t>
  </si>
  <si>
    <t>Pizza Nova</t>
  </si>
  <si>
    <t>Project Hope</t>
  </si>
  <si>
    <t>008</t>
  </si>
  <si>
    <t>Swim team</t>
  </si>
  <si>
    <t>Sharon M</t>
  </si>
  <si>
    <t>payment for new swim team banner</t>
  </si>
  <si>
    <t>Nov to Jan Total</t>
  </si>
  <si>
    <t>009</t>
  </si>
  <si>
    <t>pizza lunch dec18</t>
  </si>
  <si>
    <t>50/50 draw</t>
  </si>
  <si>
    <t>proceeds from Xmas concert</t>
  </si>
  <si>
    <t>bake sale</t>
  </si>
  <si>
    <t>transfer into CSPC acct of swim acct</t>
  </si>
  <si>
    <t>010</t>
  </si>
  <si>
    <t>classroom materials</t>
  </si>
  <si>
    <t>Valentini</t>
  </si>
  <si>
    <t>materials for classroom</t>
  </si>
  <si>
    <t>011</t>
  </si>
  <si>
    <t>Douris</t>
  </si>
  <si>
    <t>012</t>
  </si>
  <si>
    <t>Scientists in School</t>
  </si>
  <si>
    <t>013</t>
  </si>
  <si>
    <t>City of Toronto</t>
  </si>
  <si>
    <t>pool rental</t>
  </si>
  <si>
    <t>Bank Ledger - National Bank Business Account old 103924 new 154723 - SCHOOL YEAR 2015 - 2016</t>
  </si>
  <si>
    <t>014</t>
  </si>
  <si>
    <t>registration and apparel fees</t>
  </si>
  <si>
    <t>`</t>
  </si>
  <si>
    <t>015</t>
  </si>
  <si>
    <t>Kirstyn Steinke</t>
  </si>
  <si>
    <t>coach for swimming</t>
  </si>
  <si>
    <t>016</t>
  </si>
  <si>
    <t>017</t>
  </si>
  <si>
    <t>pizza lunch jan29</t>
  </si>
  <si>
    <t>pizza lunch feb2</t>
  </si>
  <si>
    <t>018</t>
  </si>
  <si>
    <t>Silva</t>
  </si>
  <si>
    <t>160496, 160497</t>
  </si>
  <si>
    <t>young friends of earth</t>
  </si>
  <si>
    <t>019</t>
  </si>
  <si>
    <t>Read A Thon</t>
  </si>
  <si>
    <t>Kelly P</t>
  </si>
  <si>
    <t>supplies, envelops</t>
  </si>
  <si>
    <t>De Agazio, Valentini</t>
  </si>
  <si>
    <t>reorder for cheques</t>
  </si>
  <si>
    <t>mthly bank charge to be reversed</t>
  </si>
  <si>
    <t>apparel fees/registration</t>
  </si>
  <si>
    <t>Classroom materials</t>
  </si>
  <si>
    <t>020</t>
  </si>
  <si>
    <t>swim team</t>
  </si>
  <si>
    <t>Zhan</t>
  </si>
  <si>
    <t>refund for participant</t>
  </si>
  <si>
    <t>021</t>
  </si>
  <si>
    <t>av0204a</t>
  </si>
  <si>
    <t>library</t>
  </si>
  <si>
    <t>Books for Boys</t>
  </si>
  <si>
    <t>author visit</t>
  </si>
  <si>
    <t>022</t>
  </si>
  <si>
    <t>023</t>
  </si>
  <si>
    <t>Paul</t>
  </si>
  <si>
    <t>refund for uniform not received</t>
  </si>
  <si>
    <t>024</t>
  </si>
  <si>
    <t>Out All Night</t>
  </si>
  <si>
    <t>Teixeira</t>
  </si>
  <si>
    <t>permit</t>
  </si>
  <si>
    <t>025</t>
  </si>
  <si>
    <t>162156, 161867, 161852</t>
  </si>
  <si>
    <t>Christie, Fitzgerald, Burke</t>
  </si>
  <si>
    <t>Feb to Mar Total</t>
  </si>
  <si>
    <t>026</t>
  </si>
  <si>
    <t>Marianne</t>
  </si>
  <si>
    <t>permit for event</t>
  </si>
  <si>
    <t>027</t>
  </si>
  <si>
    <t>St Clement Catholic School</t>
  </si>
  <si>
    <t>registration fee</t>
  </si>
  <si>
    <t>028</t>
  </si>
  <si>
    <t xml:space="preserve">uniforms  </t>
  </si>
  <si>
    <t>029</t>
  </si>
  <si>
    <t>St John</t>
  </si>
  <si>
    <t>lifeguards 3x$30 Landry, Melchoir, Petrasek</t>
  </si>
  <si>
    <t>030</t>
  </si>
  <si>
    <t>Kristyn Steinke</t>
  </si>
  <si>
    <t>DJ Service</t>
  </si>
  <si>
    <t>D Obrien</t>
  </si>
  <si>
    <t>031</t>
  </si>
  <si>
    <t>032</t>
  </si>
  <si>
    <t>Vango</t>
  </si>
  <si>
    <t>Photo Booth</t>
  </si>
  <si>
    <t>033</t>
  </si>
  <si>
    <t>N Niccoli</t>
  </si>
  <si>
    <t>Printing and supplies</t>
  </si>
  <si>
    <t>pizza lunch feb26</t>
  </si>
  <si>
    <t>034</t>
  </si>
  <si>
    <t>035</t>
  </si>
  <si>
    <t>float for event to be paid back</t>
  </si>
  <si>
    <t>collection of funds for pizza lunch</t>
  </si>
  <si>
    <t>ticket sales</t>
  </si>
  <si>
    <t>Mabel labels</t>
  </si>
  <si>
    <t>percentage of sales</t>
  </si>
  <si>
    <t>Magazines</t>
  </si>
  <si>
    <t>Mabel's Labels</t>
  </si>
  <si>
    <t>Magazine QSP</t>
  </si>
  <si>
    <t>credit from prior month</t>
  </si>
  <si>
    <t>036</t>
  </si>
  <si>
    <t>refund for pizza lunch</t>
  </si>
  <si>
    <t>50/50 sales from event</t>
  </si>
  <si>
    <t>silent auction sales from event</t>
  </si>
  <si>
    <t>return of float from event</t>
  </si>
  <si>
    <t>funds collected from event</t>
  </si>
  <si>
    <t>drink sales from event</t>
  </si>
  <si>
    <t>ticket sales &amp; remax $500 from event</t>
  </si>
  <si>
    <t>37</t>
  </si>
  <si>
    <t xml:space="preserve">NSF </t>
  </si>
  <si>
    <t>Daniel, Noah, Joseph, Annie</t>
  </si>
  <si>
    <t>funds from event</t>
  </si>
  <si>
    <t>38</t>
  </si>
  <si>
    <t>39</t>
  </si>
  <si>
    <t>transfer of funds from St. John account - bank error</t>
  </si>
  <si>
    <t>fee adjustment will be credit to account at a later date</t>
  </si>
  <si>
    <t>Out all night</t>
  </si>
  <si>
    <t>Library</t>
  </si>
  <si>
    <t>40</t>
  </si>
  <si>
    <t>alcohol purchases for event</t>
  </si>
  <si>
    <t>Feb 29/16</t>
  </si>
  <si>
    <t>winning class from book challenge</t>
  </si>
  <si>
    <t>funds transferred out back to shool account</t>
  </si>
  <si>
    <t>CURRENT Feb 3 to March 9</t>
  </si>
  <si>
    <t>MEETING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</si>
</sst>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mm/dd/yy;@"/>
    <numFmt numFmtId="166" formatCode="[$-F800]dddd\,\ mmmm\ dd\,\ yyyy"/>
    <numFmt numFmtId="167" formatCode="&quot;$&quot;#,##0.00"/>
  </numFmts>
  <fonts count="27" x14ac:knownFonts="1">
    <font>
      <sz val="10"/>
      <name val="Arial"/>
    </font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10"/>
      <name val="Arial"/>
      <family val="2"/>
    </font>
    <font>
      <sz val="11"/>
      <color theme="1"/>
      <name val="Century Gothic"/>
      <family val="2"/>
    </font>
    <font>
      <b/>
      <u/>
      <sz val="11"/>
      <color theme="1"/>
      <name val="Century Gothic"/>
      <family val="2"/>
    </font>
    <font>
      <b/>
      <sz val="11"/>
      <color theme="1"/>
      <name val="Century Gothic"/>
      <family val="2"/>
    </font>
    <font>
      <u/>
      <sz val="11"/>
      <color theme="1"/>
      <name val="Century Gothic"/>
      <family val="2"/>
    </font>
    <font>
      <b/>
      <sz val="11"/>
      <color rgb="FF000000"/>
      <name val="Century Gothic"/>
      <family val="2"/>
    </font>
    <font>
      <sz val="11"/>
      <name val="Century Gothic"/>
      <family val="2"/>
    </font>
    <font>
      <u val="double"/>
      <sz val="11"/>
      <color theme="1"/>
      <name val="Century Gothic"/>
      <family val="2"/>
    </font>
    <font>
      <sz val="11"/>
      <color rgb="FF000000"/>
      <name val="Century Gothic"/>
      <family val="2"/>
    </font>
    <font>
      <u val="doubleAccounting"/>
      <sz val="11"/>
      <color theme="1"/>
      <name val="Century Gothic"/>
      <family val="2"/>
    </font>
    <font>
      <b/>
      <sz val="11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10"/>
      <name val="Arial"/>
      <family val="2"/>
    </font>
    <font>
      <b/>
      <u/>
      <sz val="11"/>
      <color rgb="FF000000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entury Gothic"/>
      <family val="2"/>
    </font>
    <font>
      <b/>
      <sz val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73">
    <xf numFmtId="0" fontId="0" fillId="0" borderId="0" xfId="0"/>
    <xf numFmtId="0" fontId="14" fillId="0" borderId="0" xfId="0" applyFont="1"/>
    <xf numFmtId="0" fontId="9" fillId="0" borderId="0" xfId="0" applyFont="1"/>
    <xf numFmtId="0" fontId="12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/>
    <xf numFmtId="0" fontId="11" fillId="0" borderId="0" xfId="0" applyFont="1" applyAlignment="1"/>
    <xf numFmtId="0" fontId="13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2" fillId="0" borderId="0" xfId="0" applyFont="1" applyAlignment="1"/>
    <xf numFmtId="0" fontId="13" fillId="0" borderId="0" xfId="0" applyFont="1" applyAlignment="1">
      <alignment vertical="center"/>
    </xf>
    <xf numFmtId="0" fontId="10" fillId="0" borderId="0" xfId="0" applyFont="1" applyAlignment="1"/>
    <xf numFmtId="0" fontId="16" fillId="0" borderId="0" xfId="0" applyFont="1" applyAlignment="1">
      <alignment vertical="center"/>
    </xf>
    <xf numFmtId="44" fontId="9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44" fontId="17" fillId="0" borderId="0" xfId="1" applyNumberFormat="1" applyFont="1" applyAlignment="1">
      <alignment vertical="center"/>
    </xf>
    <xf numFmtId="44" fontId="14" fillId="0" borderId="0" xfId="0" applyNumberFormat="1" applyFont="1"/>
    <xf numFmtId="44" fontId="9" fillId="0" borderId="1" xfId="1" applyNumberFormat="1" applyFont="1" applyBorder="1" applyAlignment="1">
      <alignment vertical="center"/>
    </xf>
    <xf numFmtId="44" fontId="14" fillId="0" borderId="1" xfId="0" applyNumberFormat="1" applyFont="1" applyBorder="1" applyAlignment="1"/>
    <xf numFmtId="44" fontId="14" fillId="0" borderId="1" xfId="0" applyNumberFormat="1" applyFont="1" applyBorder="1"/>
    <xf numFmtId="0" fontId="18" fillId="0" borderId="0" xfId="0" applyFont="1" applyAlignment="1"/>
    <xf numFmtId="44" fontId="9" fillId="0" borderId="0" xfId="1" applyNumberFormat="1" applyFont="1" applyBorder="1" applyAlignment="1">
      <alignment vertical="center"/>
    </xf>
    <xf numFmtId="44" fontId="9" fillId="0" borderId="2" xfId="1" applyNumberFormat="1" applyFont="1" applyBorder="1" applyAlignment="1">
      <alignment vertical="center"/>
    </xf>
    <xf numFmtId="0" fontId="19" fillId="0" borderId="0" xfId="0" applyFont="1"/>
    <xf numFmtId="165" fontId="19" fillId="2" borderId="3" xfId="0" applyNumberFormat="1" applyFont="1" applyFill="1" applyBorder="1"/>
    <xf numFmtId="39" fontId="19" fillId="2" borderId="3" xfId="0" applyNumberFormat="1" applyFont="1" applyFill="1" applyBorder="1" applyAlignment="1">
      <alignment horizontal="center"/>
    </xf>
    <xf numFmtId="0" fontId="19" fillId="2" borderId="8" xfId="0" applyFont="1" applyFill="1" applyBorder="1" applyAlignment="1"/>
    <xf numFmtId="0" fontId="19" fillId="2" borderId="9" xfId="0" applyFont="1" applyFill="1" applyBorder="1" applyAlignment="1"/>
    <xf numFmtId="0" fontId="19" fillId="2" borderId="10" xfId="0" applyFont="1" applyFill="1" applyBorder="1" applyAlignment="1"/>
    <xf numFmtId="165" fontId="19" fillId="2" borderId="11" xfId="0" applyNumberFormat="1" applyFont="1" applyFill="1" applyBorder="1" applyAlignment="1">
      <alignment horizontal="center"/>
    </xf>
    <xf numFmtId="39" fontId="19" fillId="2" borderId="1" xfId="0" applyNumberFormat="1" applyFont="1" applyFill="1" applyBorder="1" applyAlignment="1">
      <alignment horizontal="center"/>
    </xf>
    <xf numFmtId="39" fontId="20" fillId="2" borderId="1" xfId="0" applyNumberFormat="1" applyFont="1" applyFill="1" applyBorder="1" applyAlignment="1">
      <alignment horizontal="center"/>
    </xf>
    <xf numFmtId="39" fontId="19" fillId="2" borderId="12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vertical="center"/>
    </xf>
    <xf numFmtId="0" fontId="20" fillId="0" borderId="0" xfId="0" applyFont="1"/>
    <xf numFmtId="0" fontId="20" fillId="0" borderId="13" xfId="0" applyFont="1" applyBorder="1"/>
    <xf numFmtId="0" fontId="20" fillId="0" borderId="15" xfId="0" applyFont="1" applyBorder="1"/>
    <xf numFmtId="0" fontId="20" fillId="0" borderId="16" xfId="0" applyFont="1" applyBorder="1"/>
    <xf numFmtId="0" fontId="20" fillId="0" borderId="17" xfId="0" applyFont="1" applyBorder="1"/>
    <xf numFmtId="164" fontId="20" fillId="0" borderId="0" xfId="0" applyNumberFormat="1" applyFont="1"/>
    <xf numFmtId="164" fontId="20" fillId="0" borderId="13" xfId="0" applyNumberFormat="1" applyFont="1" applyBorder="1"/>
    <xf numFmtId="0" fontId="21" fillId="0" borderId="0" xfId="0" applyFont="1" applyAlignment="1">
      <alignment horizontal="center"/>
    </xf>
    <xf numFmtId="0" fontId="21" fillId="0" borderId="0" xfId="0" applyFont="1"/>
    <xf numFmtId="0" fontId="21" fillId="0" borderId="18" xfId="0" applyFont="1" applyBorder="1"/>
    <xf numFmtId="164" fontId="21" fillId="0" borderId="19" xfId="1" applyFont="1" applyBorder="1" applyAlignment="1">
      <alignment horizontal="center"/>
    </xf>
    <xf numFmtId="0" fontId="0" fillId="0" borderId="20" xfId="0" applyBorder="1"/>
    <xf numFmtId="0" fontId="0" fillId="0" borderId="0" xfId="0" quotePrefix="1"/>
    <xf numFmtId="164" fontId="8" fillId="0" borderId="19" xfId="1" applyFont="1" applyBorder="1"/>
    <xf numFmtId="164" fontId="0" fillId="0" borderId="19" xfId="0" applyNumberFormat="1" applyBorder="1"/>
    <xf numFmtId="164" fontId="21" fillId="0" borderId="19" xfId="0" applyNumberFormat="1" applyFont="1" applyBorder="1"/>
    <xf numFmtId="164" fontId="21" fillId="0" borderId="19" xfId="1" applyFont="1" applyBorder="1"/>
    <xf numFmtId="0" fontId="0" fillId="0" borderId="18" xfId="0" applyBorder="1"/>
    <xf numFmtId="0" fontId="8" fillId="0" borderId="18" xfId="0" applyFont="1" applyBorder="1"/>
    <xf numFmtId="0" fontId="0" fillId="0" borderId="0" xfId="0" applyBorder="1"/>
    <xf numFmtId="0" fontId="0" fillId="0" borderId="0" xfId="0" quotePrefix="1" applyBorder="1"/>
    <xf numFmtId="0" fontId="14" fillId="0" borderId="0" xfId="0" applyFont="1" applyAlignment="1"/>
    <xf numFmtId="44" fontId="14" fillId="0" borderId="0" xfId="1" applyNumberFormat="1" applyFont="1"/>
    <xf numFmtId="44" fontId="15" fillId="0" borderId="0" xfId="1" applyNumberFormat="1" applyFont="1" applyAlignment="1">
      <alignment vertical="center" wrapText="1"/>
    </xf>
    <xf numFmtId="44" fontId="9" fillId="0" borderId="0" xfId="1" applyNumberFormat="1" applyFont="1"/>
    <xf numFmtId="0" fontId="10" fillId="0" borderId="0" xfId="0" applyFont="1" applyAlignment="1"/>
    <xf numFmtId="0" fontId="12" fillId="0" borderId="0" xfId="0" applyFont="1" applyAlignment="1"/>
    <xf numFmtId="44" fontId="9" fillId="0" borderId="0" xfId="1" applyNumberFormat="1" applyFont="1" applyAlignment="1">
      <alignment horizontal="left" vertical="center" wrapText="1"/>
    </xf>
    <xf numFmtId="44" fontId="9" fillId="0" borderId="0" xfId="1" applyNumberFormat="1" applyFont="1" applyAlignment="1">
      <alignment vertical="center" wrapText="1"/>
    </xf>
    <xf numFmtId="44" fontId="12" fillId="0" borderId="0" xfId="1" applyNumberFormat="1" applyFont="1" applyAlignment="1">
      <alignment vertical="center" wrapText="1"/>
    </xf>
    <xf numFmtId="15" fontId="21" fillId="0" borderId="0" xfId="0" applyNumberFormat="1" applyFont="1"/>
    <xf numFmtId="166" fontId="21" fillId="0" borderId="18" xfId="0" applyNumberFormat="1" applyFont="1" applyBorder="1"/>
    <xf numFmtId="16" fontId="20" fillId="0" borderId="14" xfId="0" applyNumberFormat="1" applyFont="1" applyBorder="1"/>
    <xf numFmtId="44" fontId="25" fillId="0" borderId="0" xfId="1" applyNumberFormat="1" applyFont="1" applyAlignment="1">
      <alignment vertical="center"/>
    </xf>
    <xf numFmtId="0" fontId="20" fillId="0" borderId="21" xfId="0" applyFont="1" applyBorder="1"/>
    <xf numFmtId="164" fontId="20" fillId="0" borderId="22" xfId="0" applyNumberFormat="1" applyFont="1" applyBorder="1"/>
    <xf numFmtId="164" fontId="20" fillId="0" borderId="0" xfId="0" applyNumberFormat="1" applyFont="1" applyBorder="1"/>
    <xf numFmtId="0" fontId="26" fillId="0" borderId="1" xfId="0" applyFont="1" applyBorder="1"/>
    <xf numFmtId="0" fontId="20" fillId="0" borderId="22" xfId="0" applyFont="1" applyBorder="1"/>
    <xf numFmtId="164" fontId="20" fillId="0" borderId="25" xfId="0" applyNumberFormat="1" applyFont="1" applyBorder="1"/>
    <xf numFmtId="0" fontId="20" fillId="0" borderId="25" xfId="0" applyFont="1" applyBorder="1"/>
    <xf numFmtId="164" fontId="26" fillId="0" borderId="1" xfId="0" applyNumberFormat="1" applyFont="1" applyBorder="1"/>
    <xf numFmtId="16" fontId="20" fillId="0" borderId="23" xfId="0" applyNumberFormat="1" applyFont="1" applyBorder="1"/>
    <xf numFmtId="49" fontId="20" fillId="2" borderId="1" xfId="0" applyNumberFormat="1" applyFont="1" applyFill="1" applyBorder="1" applyAlignment="1">
      <alignment horizontal="center"/>
    </xf>
    <xf numFmtId="49" fontId="20" fillId="0" borderId="0" xfId="0" applyNumberFormat="1" applyFont="1" applyAlignment="1">
      <alignment horizontal="right"/>
    </xf>
    <xf numFmtId="49" fontId="20" fillId="0" borderId="13" xfId="0" applyNumberFormat="1" applyFont="1" applyBorder="1" applyAlignment="1">
      <alignment horizontal="right"/>
    </xf>
    <xf numFmtId="49" fontId="20" fillId="0" borderId="22" xfId="0" applyNumberFormat="1" applyFont="1" applyBorder="1" applyAlignment="1">
      <alignment horizontal="right"/>
    </xf>
    <xf numFmtId="49" fontId="26" fillId="0" borderId="1" xfId="0" applyNumberFormat="1" applyFont="1" applyBorder="1" applyAlignment="1">
      <alignment horizontal="right"/>
    </xf>
    <xf numFmtId="49" fontId="20" fillId="0" borderId="25" xfId="0" applyNumberFormat="1" applyFont="1" applyBorder="1" applyAlignment="1">
      <alignment horizontal="right"/>
    </xf>
    <xf numFmtId="49" fontId="20" fillId="0" borderId="0" xfId="0" applyNumberFormat="1" applyFont="1" applyBorder="1" applyAlignment="1">
      <alignment horizontal="right"/>
    </xf>
    <xf numFmtId="16" fontId="20" fillId="0" borderId="24" xfId="0" applyNumberFormat="1" applyFont="1" applyBorder="1"/>
    <xf numFmtId="0" fontId="20" fillId="0" borderId="26" xfId="0" applyFont="1" applyBorder="1"/>
    <xf numFmtId="0" fontId="20" fillId="0" borderId="27" xfId="0" applyFont="1" applyBorder="1"/>
    <xf numFmtId="164" fontId="26" fillId="0" borderId="28" xfId="0" applyNumberFormat="1" applyFont="1" applyBorder="1"/>
    <xf numFmtId="0" fontId="26" fillId="0" borderId="29" xfId="0" applyFont="1" applyBorder="1"/>
    <xf numFmtId="0" fontId="26" fillId="0" borderId="30" xfId="0" applyFont="1" applyBorder="1"/>
    <xf numFmtId="0" fontId="26" fillId="0" borderId="0" xfId="0" applyFont="1"/>
    <xf numFmtId="0" fontId="10" fillId="0" borderId="0" xfId="0" applyFont="1" applyAlignment="1"/>
    <xf numFmtId="0" fontId="10" fillId="0" borderId="0" xfId="0" applyFont="1" applyAlignment="1"/>
    <xf numFmtId="164" fontId="20" fillId="3" borderId="13" xfId="0" applyNumberFormat="1" applyFont="1" applyFill="1" applyBorder="1"/>
    <xf numFmtId="164" fontId="20" fillId="3" borderId="25" xfId="0" applyNumberFormat="1" applyFont="1" applyFill="1" applyBorder="1"/>
    <xf numFmtId="164" fontId="20" fillId="3" borderId="22" xfId="0" applyNumberFormat="1" applyFont="1" applyFill="1" applyBorder="1"/>
    <xf numFmtId="164" fontId="0" fillId="0" borderId="0" xfId="0" applyNumberFormat="1"/>
    <xf numFmtId="0" fontId="18" fillId="0" borderId="0" xfId="0" applyFont="1" applyAlignment="1">
      <alignment horizontal="right"/>
    </xf>
    <xf numFmtId="14" fontId="18" fillId="0" borderId="0" xfId="0" applyNumberFormat="1" applyFont="1"/>
    <xf numFmtId="14" fontId="21" fillId="0" borderId="18" xfId="0" applyNumberFormat="1" applyFont="1" applyBorder="1"/>
    <xf numFmtId="14" fontId="26" fillId="0" borderId="0" xfId="0" applyNumberFormat="1" applyFont="1" applyAlignment="1">
      <alignment horizontal="left"/>
    </xf>
    <xf numFmtId="0" fontId="26" fillId="0" borderId="28" xfId="0" applyFont="1" applyBorder="1"/>
    <xf numFmtId="164" fontId="26" fillId="0" borderId="29" xfId="0" applyNumberFormat="1" applyFont="1" applyBorder="1"/>
    <xf numFmtId="49" fontId="26" fillId="0" borderId="29" xfId="0" applyNumberFormat="1" applyFont="1" applyBorder="1" applyAlignment="1">
      <alignment horizontal="right"/>
    </xf>
    <xf numFmtId="49" fontId="20" fillId="0" borderId="29" xfId="0" applyNumberFormat="1" applyFont="1" applyBorder="1" applyAlignment="1">
      <alignment horizontal="right"/>
    </xf>
    <xf numFmtId="0" fontId="20" fillId="0" borderId="29" xfId="0" applyFont="1" applyBorder="1"/>
    <xf numFmtId="0" fontId="20" fillId="0" borderId="30" xfId="0" applyFont="1" applyBorder="1"/>
    <xf numFmtId="164" fontId="20" fillId="2" borderId="13" xfId="0" applyNumberFormat="1" applyFont="1" applyFill="1" applyBorder="1"/>
    <xf numFmtId="16" fontId="20" fillId="0" borderId="13" xfId="0" applyNumberFormat="1" applyFont="1" applyBorder="1"/>
    <xf numFmtId="44" fontId="6" fillId="0" borderId="0" xfId="1" applyNumberFormat="1" applyFont="1"/>
    <xf numFmtId="0" fontId="8" fillId="0" borderId="0" xfId="0" quotePrefix="1" applyFont="1" applyAlignment="1">
      <alignment horizontal="right"/>
    </xf>
    <xf numFmtId="0" fontId="8" fillId="0" borderId="0" xfId="0" applyFont="1" applyBorder="1"/>
    <xf numFmtId="164" fontId="8" fillId="0" borderId="0" xfId="1" applyFont="1" applyBorder="1"/>
    <xf numFmtId="0" fontId="0" fillId="0" borderId="0" xfId="0" quotePrefix="1" applyBorder="1" applyAlignment="1">
      <alignment horizontal="right"/>
    </xf>
    <xf numFmtId="164" fontId="0" fillId="0" borderId="0" xfId="1" applyFont="1" applyBorder="1"/>
    <xf numFmtId="0" fontId="14" fillId="0" borderId="0" xfId="0" applyFont="1" applyAlignment="1"/>
    <xf numFmtId="44" fontId="5" fillId="0" borderId="0" xfId="1" applyNumberFormat="1" applyFont="1" applyAlignment="1">
      <alignment vertical="center"/>
    </xf>
    <xf numFmtId="164" fontId="20" fillId="2" borderId="22" xfId="0" applyNumberFormat="1" applyFont="1" applyFill="1" applyBorder="1"/>
    <xf numFmtId="0" fontId="19" fillId="0" borderId="13" xfId="0" applyFont="1" applyBorder="1" applyProtection="1">
      <protection locked="0"/>
    </xf>
    <xf numFmtId="3" fontId="20" fillId="0" borderId="25" xfId="0" applyNumberFormat="1" applyFont="1" applyBorder="1"/>
    <xf numFmtId="164" fontId="26" fillId="0" borderId="25" xfId="0" applyNumberFormat="1" applyFont="1" applyBorder="1"/>
    <xf numFmtId="164" fontId="20" fillId="0" borderId="32" xfId="0" applyNumberFormat="1" applyFont="1" applyBorder="1"/>
    <xf numFmtId="0" fontId="20" fillId="0" borderId="31" xfId="0" applyFont="1" applyBorder="1"/>
    <xf numFmtId="164" fontId="26" fillId="2" borderId="29" xfId="0" applyNumberFormat="1" applyFont="1" applyFill="1" applyBorder="1"/>
    <xf numFmtId="44" fontId="4" fillId="0" borderId="0" xfId="0" applyNumberFormat="1" applyFont="1" applyAlignment="1">
      <alignment horizontal="center"/>
    </xf>
    <xf numFmtId="0" fontId="14" fillId="0" borderId="0" xfId="0" applyFont="1" applyAlignment="1"/>
    <xf numFmtId="0" fontId="10" fillId="0" borderId="0" xfId="0" applyFont="1" applyAlignment="1"/>
    <xf numFmtId="44" fontId="3" fillId="0" borderId="0" xfId="1" applyNumberFormat="1" applyFont="1" applyAlignment="1">
      <alignment vertical="center"/>
    </xf>
    <xf numFmtId="164" fontId="20" fillId="2" borderId="25" xfId="0" applyNumberFormat="1" applyFont="1" applyFill="1" applyBorder="1"/>
    <xf numFmtId="164" fontId="9" fillId="0" borderId="0" xfId="0" applyNumberFormat="1" applyFont="1"/>
    <xf numFmtId="0" fontId="8" fillId="0" borderId="0" xfId="0" applyFont="1" applyFill="1" applyBorder="1"/>
    <xf numFmtId="164" fontId="8" fillId="0" borderId="0" xfId="1" applyFont="1" applyFill="1" applyBorder="1"/>
    <xf numFmtId="0" fontId="8" fillId="0" borderId="0" xfId="0" applyFont="1"/>
    <xf numFmtId="167" fontId="21" fillId="0" borderId="19" xfId="0" applyNumberFormat="1" applyFont="1" applyBorder="1"/>
    <xf numFmtId="164" fontId="25" fillId="0" borderId="0" xfId="0" applyNumberFormat="1" applyFont="1"/>
    <xf numFmtId="44" fontId="7" fillId="0" borderId="0" xfId="1" applyNumberFormat="1" applyFont="1" applyFill="1" applyAlignment="1">
      <alignment vertical="center"/>
    </xf>
    <xf numFmtId="44" fontId="9" fillId="0" borderId="0" xfId="1" applyNumberFormat="1" applyFont="1" applyFill="1" applyAlignment="1">
      <alignment vertical="center"/>
    </xf>
    <xf numFmtId="44" fontId="5" fillId="0" borderId="0" xfId="1" applyNumberFormat="1" applyFont="1" applyFill="1" applyAlignment="1">
      <alignment vertical="center"/>
    </xf>
    <xf numFmtId="44" fontId="9" fillId="0" borderId="1" xfId="1" applyNumberFormat="1" applyFont="1" applyFill="1" applyBorder="1" applyAlignment="1">
      <alignment vertical="center"/>
    </xf>
    <xf numFmtId="0" fontId="9" fillId="0" borderId="0" xfId="0" applyFont="1" applyFill="1"/>
    <xf numFmtId="0" fontId="14" fillId="0" borderId="0" xfId="0" applyFont="1" applyFill="1"/>
    <xf numFmtId="44" fontId="14" fillId="0" borderId="1" xfId="0" applyNumberFormat="1" applyFont="1" applyFill="1" applyBorder="1"/>
    <xf numFmtId="44" fontId="14" fillId="0" borderId="0" xfId="0" applyNumberFormat="1" applyFont="1" applyFill="1"/>
    <xf numFmtId="44" fontId="14" fillId="0" borderId="1" xfId="0" applyNumberFormat="1" applyFont="1" applyFill="1" applyBorder="1" applyAlignment="1"/>
    <xf numFmtId="0" fontId="14" fillId="0" borderId="0" xfId="0" applyFont="1" applyFill="1" applyAlignment="1"/>
    <xf numFmtId="0" fontId="2" fillId="0" borderId="0" xfId="0" applyFont="1" applyAlignment="1">
      <alignment horizontal="center" wrapText="1"/>
    </xf>
    <xf numFmtId="164" fontId="20" fillId="0" borderId="13" xfId="0" applyNumberFormat="1" applyFont="1" applyFill="1" applyBorder="1"/>
    <xf numFmtId="16" fontId="20" fillId="0" borderId="22" xfId="0" applyNumberFormat="1" applyFont="1" applyBorder="1"/>
    <xf numFmtId="44" fontId="1" fillId="0" borderId="0" xfId="1" applyNumberFormat="1" applyFont="1" applyFill="1" applyAlignment="1">
      <alignment vertical="center"/>
    </xf>
    <xf numFmtId="39" fontId="19" fillId="2" borderId="4" xfId="0" applyNumberFormat="1" applyFont="1" applyFill="1" applyBorder="1" applyAlignment="1">
      <alignment horizontal="center"/>
    </xf>
    <xf numFmtId="39" fontId="19" fillId="2" borderId="5" xfId="0" applyNumberFormat="1" applyFont="1" applyFill="1" applyBorder="1" applyAlignment="1">
      <alignment horizontal="center"/>
    </xf>
    <xf numFmtId="39" fontId="19" fillId="2" borderId="6" xfId="0" applyNumberFormat="1" applyFont="1" applyFill="1" applyBorder="1" applyAlignment="1">
      <alignment horizontal="center"/>
    </xf>
    <xf numFmtId="39" fontId="20" fillId="2" borderId="7" xfId="0" applyNumberFormat="1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0" fontId="14" fillId="0" borderId="0" xfId="0" applyFont="1" applyAlignment="1"/>
    <xf numFmtId="0" fontId="22" fillId="0" borderId="0" xfId="0" applyFont="1" applyAlignment="1">
      <alignment vertical="center" wrapText="1"/>
    </xf>
    <xf numFmtId="0" fontId="10" fillId="0" borderId="0" xfId="0" applyFont="1" applyAlignment="1"/>
    <xf numFmtId="0" fontId="13" fillId="0" borderId="0" xfId="0" applyFont="1" applyAlignment="1">
      <alignment vertical="center" wrapText="1"/>
    </xf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9525</xdr:rowOff>
    </xdr:from>
    <xdr:to>
      <xdr:col>0</xdr:col>
      <xdr:colOff>457200</xdr:colOff>
      <xdr:row>2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4286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152400</xdr:colOff>
      <xdr:row>0</xdr:row>
      <xdr:rowOff>28575</xdr:rowOff>
    </xdr:from>
    <xdr:to>
      <xdr:col>8</xdr:col>
      <xdr:colOff>590550</xdr:colOff>
      <xdr:row>2</xdr:row>
      <xdr:rowOff>38100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28575"/>
          <a:ext cx="4381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topLeftCell="A31" zoomScaleNormal="100" workbookViewId="0">
      <selection activeCell="E29" sqref="E29"/>
    </sheetView>
  </sheetViews>
  <sheetFormatPr defaultColWidth="9.109375" defaultRowHeight="13.8" x14ac:dyDescent="0.25"/>
  <cols>
    <col min="1" max="1" width="8.6640625" style="10" customWidth="1"/>
    <col min="2" max="5" width="8.6640625" style="1" customWidth="1"/>
    <col min="6" max="6" width="9.6640625" style="1" customWidth="1"/>
    <col min="7" max="12" width="13.6640625" style="1" customWidth="1"/>
    <col min="13" max="13" width="14.5546875" style="1" customWidth="1"/>
    <col min="14" max="14" width="9.109375" style="1"/>
    <col min="15" max="16" width="12.88671875" style="1" customWidth="1"/>
    <col min="17" max="16384" width="9.109375" style="1"/>
  </cols>
  <sheetData>
    <row r="1" spans="1:10" x14ac:dyDescent="0.25">
      <c r="A1" s="16"/>
    </row>
    <row r="2" spans="1:10" x14ac:dyDescent="0.25">
      <c r="A2" s="16" t="s">
        <v>119</v>
      </c>
      <c r="B2" s="10"/>
      <c r="C2" s="10"/>
      <c r="D2" s="10"/>
      <c r="E2" s="10"/>
      <c r="F2" s="10"/>
      <c r="G2" s="10"/>
      <c r="I2" s="104" t="s">
        <v>285</v>
      </c>
      <c r="J2" s="105">
        <v>42452</v>
      </c>
    </row>
    <row r="3" spans="1:10" x14ac:dyDescent="0.25">
      <c r="A3" s="16" t="s">
        <v>23</v>
      </c>
      <c r="G3" s="10"/>
    </row>
    <row r="4" spans="1:10" x14ac:dyDescent="0.25">
      <c r="A4" s="16"/>
      <c r="B4" s="10"/>
      <c r="C4" s="10"/>
      <c r="D4" s="10"/>
      <c r="E4" s="10"/>
      <c r="F4" s="10"/>
      <c r="G4" s="10"/>
    </row>
    <row r="5" spans="1:10" x14ac:dyDescent="0.25">
      <c r="A5" s="16" t="s">
        <v>35</v>
      </c>
      <c r="B5" s="10"/>
      <c r="C5" s="10"/>
      <c r="D5" s="10"/>
      <c r="E5" s="10"/>
      <c r="F5" s="10"/>
      <c r="G5" s="19">
        <f>7154.49+150</f>
        <v>7304.49</v>
      </c>
      <c r="H5" s="74">
        <f>7154.49+150</f>
        <v>7304.49</v>
      </c>
      <c r="I5" s="74">
        <f>7154.49+150</f>
        <v>7304.49</v>
      </c>
      <c r="J5" s="74">
        <f>7154.49+150</f>
        <v>7304.49</v>
      </c>
    </row>
    <row r="6" spans="1:10" s="2" customFormat="1" x14ac:dyDescent="0.25">
      <c r="A6" s="18"/>
      <c r="B6" s="6"/>
      <c r="C6" s="6"/>
      <c r="D6" s="6"/>
      <c r="I6" s="21" t="s">
        <v>60</v>
      </c>
      <c r="J6" s="21" t="s">
        <v>60</v>
      </c>
    </row>
    <row r="7" spans="1:10" s="2" customFormat="1" ht="50.25" customHeight="1" x14ac:dyDescent="0.25">
      <c r="A7" s="16" t="s">
        <v>36</v>
      </c>
      <c r="B7" s="17"/>
      <c r="C7" s="17"/>
      <c r="D7" s="17"/>
      <c r="E7" s="17"/>
      <c r="F7" s="17"/>
      <c r="G7" s="152" t="s">
        <v>284</v>
      </c>
      <c r="H7" s="21" t="s">
        <v>16</v>
      </c>
      <c r="I7" s="21" t="s">
        <v>59</v>
      </c>
      <c r="J7" s="21" t="s">
        <v>16</v>
      </c>
    </row>
    <row r="8" spans="1:10" s="2" customFormat="1" ht="16.5" customHeight="1" x14ac:dyDescent="0.25">
      <c r="A8" s="18" t="s">
        <v>27</v>
      </c>
      <c r="B8" s="98"/>
      <c r="C8" s="98"/>
      <c r="D8" s="98"/>
      <c r="E8" s="98"/>
      <c r="F8" s="98"/>
      <c r="G8" s="142">
        <f>22.83+12.5+29.58+25175.68</f>
        <v>25240.59</v>
      </c>
      <c r="H8" s="21"/>
      <c r="I8" s="131">
        <f>80+G8</f>
        <v>25320.59</v>
      </c>
      <c r="J8" s="21"/>
    </row>
    <row r="9" spans="1:10" s="2" customFormat="1" ht="16.5" customHeight="1" x14ac:dyDescent="0.25">
      <c r="A9" s="10" t="s">
        <v>20</v>
      </c>
      <c r="B9" s="10"/>
      <c r="C9" s="17"/>
      <c r="D9" s="17"/>
      <c r="E9" s="17"/>
      <c r="F9" s="17"/>
      <c r="G9" s="143"/>
      <c r="H9" s="19">
        <v>500</v>
      </c>
      <c r="I9" s="19">
        <f>397.55+G9</f>
        <v>397.55</v>
      </c>
      <c r="J9" s="19">
        <v>500</v>
      </c>
    </row>
    <row r="10" spans="1:10" s="2" customFormat="1" x14ac:dyDescent="0.25">
      <c r="A10" s="10" t="s">
        <v>19</v>
      </c>
      <c r="B10" s="10"/>
      <c r="C10" s="17"/>
      <c r="D10" s="17"/>
      <c r="E10" s="17"/>
      <c r="F10" s="17"/>
      <c r="G10" s="143"/>
      <c r="H10" s="19">
        <v>2000</v>
      </c>
      <c r="I10" s="19">
        <f>1718.09+G10</f>
        <v>1718.09</v>
      </c>
      <c r="J10" s="19">
        <v>2000</v>
      </c>
    </row>
    <row r="11" spans="1:10" s="2" customFormat="1" x14ac:dyDescent="0.25">
      <c r="A11" s="10" t="s">
        <v>21</v>
      </c>
      <c r="B11" s="10"/>
      <c r="C11" s="17"/>
      <c r="D11" s="17"/>
      <c r="E11" s="17"/>
      <c r="F11" s="17"/>
      <c r="G11" s="143">
        <f>2792.1+20</f>
        <v>2812.1</v>
      </c>
      <c r="H11" s="19">
        <v>2500</v>
      </c>
      <c r="I11" s="19">
        <f>G11</f>
        <v>2812.1</v>
      </c>
      <c r="J11" s="19">
        <v>2500</v>
      </c>
    </row>
    <row r="12" spans="1:10" s="2" customFormat="1" x14ac:dyDescent="0.25">
      <c r="A12" s="62" t="s">
        <v>123</v>
      </c>
      <c r="B12" s="62"/>
      <c r="C12" s="66"/>
      <c r="D12" s="66"/>
      <c r="E12" s="66"/>
      <c r="F12" s="66"/>
      <c r="G12" s="143"/>
      <c r="H12" s="19"/>
      <c r="I12" s="19">
        <v>1980</v>
      </c>
      <c r="J12" s="19"/>
    </row>
    <row r="13" spans="1:10" s="2" customFormat="1" x14ac:dyDescent="0.25">
      <c r="A13" s="10" t="s">
        <v>22</v>
      </c>
      <c r="B13" s="10"/>
      <c r="C13" s="17"/>
      <c r="D13" s="17"/>
      <c r="E13" s="17"/>
      <c r="F13" s="17"/>
      <c r="G13" s="143"/>
      <c r="H13" s="19">
        <v>250</v>
      </c>
      <c r="I13" s="19"/>
      <c r="J13" s="19">
        <v>250</v>
      </c>
    </row>
    <row r="14" spans="1:10" s="2" customFormat="1" x14ac:dyDescent="0.25">
      <c r="A14" s="132" t="s">
        <v>258</v>
      </c>
      <c r="B14" s="132"/>
      <c r="C14" s="133"/>
      <c r="D14" s="133"/>
      <c r="E14" s="133"/>
      <c r="F14" s="133"/>
      <c r="G14" s="143">
        <v>52.96</v>
      </c>
      <c r="H14" s="19"/>
      <c r="I14" s="19">
        <f>G14</f>
        <v>52.96</v>
      </c>
      <c r="J14" s="19"/>
    </row>
    <row r="15" spans="1:10" s="2" customFormat="1" x14ac:dyDescent="0.25">
      <c r="A15" s="132" t="s">
        <v>259</v>
      </c>
      <c r="B15" s="132"/>
      <c r="C15" s="133"/>
      <c r="D15" s="133"/>
      <c r="E15" s="133"/>
      <c r="F15" s="133"/>
      <c r="G15" s="155">
        <f>380.78+635.14</f>
        <v>1015.92</v>
      </c>
      <c r="H15" s="19"/>
      <c r="I15" s="19">
        <f>G15</f>
        <v>1015.92</v>
      </c>
      <c r="J15" s="19"/>
    </row>
    <row r="16" spans="1:10" s="2" customFormat="1" x14ac:dyDescent="0.25">
      <c r="A16" s="10" t="s">
        <v>0</v>
      </c>
      <c r="B16" s="10"/>
      <c r="C16" s="17"/>
      <c r="D16" s="17"/>
      <c r="E16" s="17"/>
      <c r="F16" s="17"/>
      <c r="G16" s="143">
        <f>4075.25+4072.5+286.25+49.5+5.5+104.5</f>
        <v>8593.5</v>
      </c>
      <c r="H16" s="19">
        <v>15000</v>
      </c>
      <c r="I16" s="134">
        <f>7716.75+G16</f>
        <v>16310.25</v>
      </c>
      <c r="J16" s="19">
        <v>15000</v>
      </c>
    </row>
    <row r="17" spans="1:11" s="2" customFormat="1" ht="14.4" thickBot="1" x14ac:dyDescent="0.3">
      <c r="A17" s="62" t="s">
        <v>124</v>
      </c>
      <c r="B17" s="62"/>
      <c r="C17" s="66"/>
      <c r="D17" s="66"/>
      <c r="E17" s="66"/>
      <c r="F17" s="66"/>
      <c r="G17" s="144"/>
      <c r="H17" s="19"/>
      <c r="I17" s="123">
        <f>1727.91+6463+1002</f>
        <v>9192.91</v>
      </c>
      <c r="J17" s="19"/>
    </row>
    <row r="18" spans="1:11" s="2" customFormat="1" ht="14.4" thickBot="1" x14ac:dyDescent="0.3">
      <c r="A18" s="27" t="s">
        <v>37</v>
      </c>
      <c r="B18" s="10"/>
      <c r="C18" s="17"/>
      <c r="D18" s="17"/>
      <c r="E18" s="17"/>
      <c r="F18" s="17"/>
      <c r="G18" s="145">
        <f>SUM(G8:G17)</f>
        <v>37715.069999999992</v>
      </c>
      <c r="H18" s="24">
        <f>SUM(H9:H17)</f>
        <v>20250</v>
      </c>
      <c r="I18" s="24">
        <f>SUM(I8:I17)</f>
        <v>58800.369999999995</v>
      </c>
      <c r="J18" s="24">
        <f>SUM(J9:J17)</f>
        <v>20250</v>
      </c>
      <c r="K18" s="136"/>
    </row>
    <row r="19" spans="1:11" s="2" customFormat="1" ht="3.9" customHeight="1" x14ac:dyDescent="0.25">
      <c r="A19" s="10"/>
      <c r="B19" s="10"/>
      <c r="C19" s="17"/>
      <c r="D19" s="17"/>
      <c r="E19" s="17"/>
      <c r="F19" s="17"/>
      <c r="G19" s="146"/>
      <c r="H19" s="19"/>
    </row>
    <row r="20" spans="1:11" s="2" customFormat="1" x14ac:dyDescent="0.25">
      <c r="A20" s="27" t="s">
        <v>38</v>
      </c>
      <c r="B20" s="10"/>
      <c r="C20" s="17"/>
      <c r="D20" s="17"/>
      <c r="E20" s="17"/>
      <c r="F20" s="17"/>
      <c r="G20" s="146"/>
      <c r="H20" s="28"/>
    </row>
    <row r="21" spans="1:11" s="2" customFormat="1" x14ac:dyDescent="0.25">
      <c r="A21" s="10" t="s">
        <v>5</v>
      </c>
      <c r="B21" s="10"/>
      <c r="C21" s="17"/>
      <c r="D21" s="17"/>
      <c r="E21" s="17"/>
      <c r="F21" s="17"/>
      <c r="G21" s="142"/>
      <c r="H21" s="19">
        <v>8000</v>
      </c>
      <c r="I21" s="19">
        <v>12247.45</v>
      </c>
      <c r="J21" s="19">
        <v>8000</v>
      </c>
    </row>
    <row r="22" spans="1:11" s="2" customFormat="1" x14ac:dyDescent="0.25">
      <c r="A22" s="10" t="s">
        <v>18</v>
      </c>
      <c r="B22" s="10"/>
      <c r="C22" s="17"/>
      <c r="D22" s="17"/>
      <c r="E22" s="17"/>
      <c r="F22" s="17"/>
      <c r="G22" s="143">
        <f>505+1250+950+1620+251+3414+2201+315+1180</f>
        <v>11686</v>
      </c>
      <c r="H22" s="19">
        <v>12500</v>
      </c>
      <c r="I22" s="19">
        <f>+G22</f>
        <v>11686</v>
      </c>
      <c r="J22" s="19">
        <v>12500</v>
      </c>
    </row>
    <row r="23" spans="1:11" s="2" customFormat="1" ht="14.4" thickBot="1" x14ac:dyDescent="0.3">
      <c r="A23" s="10" t="s">
        <v>17</v>
      </c>
      <c r="B23" s="10"/>
      <c r="C23" s="17"/>
      <c r="D23" s="17"/>
      <c r="E23" s="17"/>
      <c r="F23" s="17"/>
      <c r="G23" s="143"/>
      <c r="H23" s="19">
        <v>15000</v>
      </c>
      <c r="I23" s="19"/>
      <c r="J23" s="19">
        <v>15000</v>
      </c>
    </row>
    <row r="24" spans="1:11" s="2" customFormat="1" ht="14.4" thickBot="1" x14ac:dyDescent="0.3">
      <c r="A24" s="27" t="s">
        <v>39</v>
      </c>
      <c r="B24" s="10"/>
      <c r="C24" s="17"/>
      <c r="D24" s="17"/>
      <c r="E24" s="17"/>
      <c r="F24" s="17"/>
      <c r="G24" s="145">
        <f>SUM(G21:G23)</f>
        <v>11686</v>
      </c>
      <c r="H24" s="24">
        <f>SUM(H21:H23)</f>
        <v>35500</v>
      </c>
      <c r="I24" s="24">
        <f>SUM(I21:I23)</f>
        <v>23933.45</v>
      </c>
      <c r="J24" s="24">
        <f>SUM(J21:J23)</f>
        <v>35500</v>
      </c>
      <c r="K24" s="136"/>
    </row>
    <row r="25" spans="1:11" s="2" customFormat="1" ht="3.9" customHeight="1" thickBot="1" x14ac:dyDescent="0.3">
      <c r="A25" s="27"/>
      <c r="B25" s="10"/>
      <c r="C25" s="17"/>
      <c r="D25" s="17"/>
      <c r="E25" s="17"/>
      <c r="F25" s="17"/>
      <c r="G25" s="146"/>
      <c r="H25" s="29"/>
      <c r="J25" s="29"/>
    </row>
    <row r="26" spans="1:11" s="2" customFormat="1" ht="16.5" customHeight="1" thickBot="1" x14ac:dyDescent="0.3">
      <c r="A26" s="16" t="s">
        <v>25</v>
      </c>
      <c r="B26" s="11"/>
      <c r="C26" s="10"/>
      <c r="D26" s="10"/>
      <c r="E26" s="17"/>
      <c r="F26" s="17"/>
      <c r="G26" s="145">
        <f>+G18+G24</f>
        <v>49401.069999999992</v>
      </c>
      <c r="H26" s="24">
        <f>+H18+H24</f>
        <v>55750</v>
      </c>
      <c r="I26" s="24">
        <f>+I18+I24</f>
        <v>82733.819999999992</v>
      </c>
      <c r="J26" s="24">
        <f>+J18+J24</f>
        <v>55750</v>
      </c>
      <c r="K26" s="136"/>
    </row>
    <row r="27" spans="1:11" s="2" customFormat="1" ht="9.9" customHeight="1" x14ac:dyDescent="0.25">
      <c r="A27" s="16"/>
      <c r="B27" s="11"/>
      <c r="C27" s="10"/>
      <c r="D27" s="10"/>
      <c r="E27" s="17"/>
      <c r="F27" s="17"/>
      <c r="G27" s="146"/>
      <c r="H27" s="19"/>
    </row>
    <row r="28" spans="1:11" s="2" customFormat="1" x14ac:dyDescent="0.25">
      <c r="A28" s="16" t="s">
        <v>30</v>
      </c>
      <c r="B28" s="11"/>
      <c r="C28" s="10"/>
      <c r="D28" s="10"/>
      <c r="E28" s="17"/>
      <c r="F28" s="17"/>
      <c r="G28" s="146"/>
      <c r="H28" s="19"/>
    </row>
    <row r="29" spans="1:11" x14ac:dyDescent="0.25">
      <c r="A29" s="10" t="s">
        <v>5</v>
      </c>
      <c r="B29" s="10"/>
      <c r="C29" s="15"/>
      <c r="D29" s="15"/>
      <c r="E29" s="15"/>
      <c r="F29" s="15"/>
      <c r="G29" s="143"/>
      <c r="H29" s="19">
        <v>2000</v>
      </c>
      <c r="I29" s="19">
        <v>3260</v>
      </c>
      <c r="J29" s="19">
        <v>2000</v>
      </c>
    </row>
    <row r="30" spans="1:11" x14ac:dyDescent="0.25">
      <c r="A30" s="10" t="s">
        <v>18</v>
      </c>
      <c r="B30" s="10"/>
      <c r="C30" s="15"/>
      <c r="D30" s="15"/>
      <c r="E30" s="15"/>
      <c r="F30" s="15"/>
      <c r="G30" s="143">
        <f>75+1686.5+270+250+195.92+1000+946.68</f>
        <v>4424.1000000000004</v>
      </c>
      <c r="H30" s="19">
        <v>3000</v>
      </c>
      <c r="I30" s="19">
        <f>G30</f>
        <v>4424.1000000000004</v>
      </c>
      <c r="J30" s="19">
        <v>3000</v>
      </c>
    </row>
    <row r="31" spans="1:11" ht="14.4" thickBot="1" x14ac:dyDescent="0.3">
      <c r="A31" s="10" t="s">
        <v>17</v>
      </c>
      <c r="B31" s="10"/>
      <c r="C31" s="15"/>
      <c r="D31" s="15"/>
      <c r="E31" s="15"/>
      <c r="F31" s="15"/>
      <c r="G31" s="143"/>
      <c r="H31" s="19">
        <v>6000</v>
      </c>
      <c r="I31" s="19"/>
      <c r="J31" s="19">
        <v>6000</v>
      </c>
    </row>
    <row r="32" spans="1:11" s="2" customFormat="1" ht="14.4" thickBot="1" x14ac:dyDescent="0.3">
      <c r="A32" s="16" t="s">
        <v>32</v>
      </c>
      <c r="B32" s="11"/>
      <c r="C32" s="10"/>
      <c r="D32" s="10"/>
      <c r="E32" s="17"/>
      <c r="F32" s="17"/>
      <c r="G32" s="145">
        <f>SUM(G29:G31)</f>
        <v>4424.1000000000004</v>
      </c>
      <c r="H32" s="24">
        <f>SUM(H29:H31)</f>
        <v>11000</v>
      </c>
      <c r="I32" s="24">
        <f>SUM(I29:I31)</f>
        <v>7684.1</v>
      </c>
      <c r="J32" s="24">
        <f>SUM(J29:J31)</f>
        <v>11000</v>
      </c>
      <c r="K32" s="136"/>
    </row>
    <row r="33" spans="1:12" x14ac:dyDescent="0.25">
      <c r="A33" s="4"/>
      <c r="B33" s="14"/>
      <c r="C33" s="6"/>
      <c r="D33" s="6"/>
      <c r="G33" s="147"/>
    </row>
    <row r="34" spans="1:12" ht="16.5" customHeight="1" x14ac:dyDescent="0.25">
      <c r="A34" s="16" t="s">
        <v>2</v>
      </c>
      <c r="B34" s="15"/>
      <c r="C34" s="15"/>
      <c r="D34" s="15"/>
      <c r="E34" s="15"/>
      <c r="F34" s="15"/>
      <c r="G34" s="147"/>
    </row>
    <row r="35" spans="1:12" ht="16.5" customHeight="1" x14ac:dyDescent="0.25">
      <c r="A35" s="10" t="s">
        <v>14</v>
      </c>
      <c r="B35" s="10"/>
      <c r="C35" s="15"/>
      <c r="D35" s="15"/>
      <c r="E35" s="15"/>
      <c r="F35" s="15"/>
      <c r="G35" s="143"/>
      <c r="H35" s="19">
        <v>325</v>
      </c>
      <c r="I35" s="19"/>
      <c r="J35" s="19">
        <v>325</v>
      </c>
      <c r="L35" s="122"/>
    </row>
    <row r="36" spans="1:12" x14ac:dyDescent="0.25">
      <c r="A36" s="10" t="s">
        <v>9</v>
      </c>
      <c r="B36" s="10"/>
      <c r="C36" s="15"/>
      <c r="D36" s="15"/>
      <c r="E36" s="15"/>
      <c r="F36" s="15"/>
      <c r="G36" s="143"/>
      <c r="H36" s="19">
        <v>500</v>
      </c>
      <c r="I36" s="19"/>
      <c r="J36" s="19">
        <v>500</v>
      </c>
      <c r="L36" s="122"/>
    </row>
    <row r="37" spans="1:12" x14ac:dyDescent="0.25">
      <c r="A37" s="18" t="s">
        <v>27</v>
      </c>
      <c r="B37" s="10"/>
      <c r="C37" s="15"/>
      <c r="D37" s="15"/>
      <c r="E37" s="15"/>
      <c r="F37" s="15"/>
      <c r="G37" s="143">
        <f>12.5+29.58+79+25175.68</f>
        <v>25296.760000000002</v>
      </c>
      <c r="H37" s="19">
        <v>200</v>
      </c>
      <c r="I37" s="19">
        <f>56+22.83+50.98+G37</f>
        <v>25426.570000000003</v>
      </c>
      <c r="J37" s="19">
        <v>200</v>
      </c>
      <c r="L37" s="18"/>
    </row>
    <row r="38" spans="1:12" x14ac:dyDescent="0.25">
      <c r="A38" s="10" t="s">
        <v>21</v>
      </c>
      <c r="B38" s="10"/>
      <c r="C38" s="15"/>
      <c r="D38" s="15"/>
      <c r="E38" s="15"/>
      <c r="F38" s="15"/>
      <c r="G38" s="143">
        <v>67.650000000000006</v>
      </c>
      <c r="H38" s="19">
        <v>25</v>
      </c>
      <c r="I38" s="19">
        <f>16.05+G38</f>
        <v>83.7</v>
      </c>
      <c r="J38" s="19">
        <v>25</v>
      </c>
      <c r="L38" s="122"/>
    </row>
    <row r="39" spans="1:12" x14ac:dyDescent="0.25">
      <c r="A39" s="10" t="s">
        <v>13</v>
      </c>
      <c r="B39" s="10"/>
      <c r="C39" s="15"/>
      <c r="D39" s="15"/>
      <c r="E39" s="15"/>
      <c r="F39" s="15"/>
      <c r="G39" s="143">
        <v>63.56</v>
      </c>
      <c r="H39" s="19">
        <v>5800</v>
      </c>
      <c r="I39" s="19">
        <f>200+36.45+63.56</f>
        <v>300.01</v>
      </c>
      <c r="J39" s="19">
        <v>5800</v>
      </c>
      <c r="L39" s="122"/>
    </row>
    <row r="40" spans="1:12" x14ac:dyDescent="0.25">
      <c r="A40" s="10" t="s">
        <v>11</v>
      </c>
      <c r="B40" s="10"/>
      <c r="C40" s="15"/>
      <c r="D40" s="15"/>
      <c r="E40" s="15"/>
      <c r="F40" s="15"/>
      <c r="G40" s="143"/>
      <c r="H40" s="19">
        <v>500</v>
      </c>
      <c r="I40" s="19"/>
      <c r="J40" s="19">
        <v>500</v>
      </c>
      <c r="L40" s="122"/>
    </row>
    <row r="41" spans="1:12" x14ac:dyDescent="0.25">
      <c r="A41" s="10" t="s">
        <v>4</v>
      </c>
      <c r="B41" s="10"/>
      <c r="C41" s="15"/>
      <c r="D41" s="15"/>
      <c r="E41" s="15"/>
      <c r="F41" s="15"/>
      <c r="G41" s="143"/>
      <c r="H41" s="19">
        <v>1000</v>
      </c>
      <c r="I41" s="19"/>
      <c r="J41" s="19">
        <v>1000</v>
      </c>
      <c r="L41" s="122"/>
    </row>
    <row r="42" spans="1:12" x14ac:dyDescent="0.25">
      <c r="A42" s="62" t="s">
        <v>123</v>
      </c>
      <c r="B42" s="62"/>
      <c r="C42" s="67"/>
      <c r="D42" s="67"/>
      <c r="E42" s="67"/>
      <c r="F42" s="67"/>
      <c r="G42" s="143"/>
      <c r="H42" s="19"/>
      <c r="I42" s="19">
        <v>1583.6</v>
      </c>
      <c r="J42" s="19"/>
      <c r="L42" s="122"/>
    </row>
    <row r="43" spans="1:12" x14ac:dyDescent="0.25">
      <c r="A43" s="10" t="s">
        <v>29</v>
      </c>
      <c r="B43" s="10"/>
      <c r="C43" s="15"/>
      <c r="D43" s="15"/>
      <c r="E43" s="15"/>
      <c r="F43" s="15"/>
      <c r="G43" s="143"/>
      <c r="H43" s="19">
        <v>1650</v>
      </c>
      <c r="I43" s="19"/>
      <c r="J43" s="19">
        <v>1650</v>
      </c>
      <c r="L43" s="122"/>
    </row>
    <row r="44" spans="1:12" x14ac:dyDescent="0.25">
      <c r="A44" s="10" t="s">
        <v>40</v>
      </c>
      <c r="B44" s="10"/>
      <c r="C44" s="15"/>
      <c r="D44" s="15"/>
      <c r="E44" s="15"/>
      <c r="F44" s="15"/>
      <c r="G44" s="143"/>
      <c r="H44" s="19">
        <v>2000</v>
      </c>
      <c r="I44" s="19"/>
      <c r="J44" s="19">
        <v>2000</v>
      </c>
      <c r="L44" s="122"/>
    </row>
    <row r="45" spans="1:12" x14ac:dyDescent="0.25">
      <c r="A45" s="10" t="s">
        <v>3</v>
      </c>
      <c r="B45" s="10"/>
      <c r="C45" s="15"/>
      <c r="D45" s="15"/>
      <c r="E45" s="15"/>
      <c r="F45" s="15"/>
      <c r="G45" s="143"/>
      <c r="H45" s="19">
        <v>550</v>
      </c>
      <c r="I45" s="19"/>
      <c r="J45" s="19">
        <v>550</v>
      </c>
      <c r="L45" s="122"/>
    </row>
    <row r="46" spans="1:12" x14ac:dyDescent="0.25">
      <c r="A46" s="10" t="s">
        <v>10</v>
      </c>
      <c r="B46" s="10"/>
      <c r="C46" s="15"/>
      <c r="D46" s="15"/>
      <c r="E46" s="15"/>
      <c r="F46" s="15"/>
      <c r="G46" s="143"/>
      <c r="H46" s="19">
        <v>1000</v>
      </c>
      <c r="I46" s="19"/>
      <c r="J46" s="19">
        <v>1000</v>
      </c>
      <c r="L46" s="122"/>
    </row>
    <row r="47" spans="1:12" x14ac:dyDescent="0.25">
      <c r="A47" s="10" t="s">
        <v>7</v>
      </c>
      <c r="B47" s="10"/>
      <c r="C47" s="15"/>
      <c r="D47" s="15"/>
      <c r="E47" s="15"/>
      <c r="F47" s="15"/>
      <c r="G47" s="143"/>
      <c r="H47" s="19">
        <v>1000</v>
      </c>
      <c r="I47" s="19"/>
      <c r="J47" s="19">
        <v>1000</v>
      </c>
      <c r="L47" s="122"/>
    </row>
    <row r="48" spans="1:12" x14ac:dyDescent="0.25">
      <c r="A48" s="10" t="s">
        <v>6</v>
      </c>
      <c r="B48" s="10"/>
      <c r="C48" s="15"/>
      <c r="D48" s="15"/>
      <c r="E48" s="15"/>
      <c r="F48" s="15"/>
      <c r="G48" s="143"/>
      <c r="H48" s="19">
        <v>150</v>
      </c>
      <c r="I48" s="19"/>
      <c r="J48" s="19">
        <v>150</v>
      </c>
      <c r="L48" s="122"/>
    </row>
    <row r="49" spans="1:12" x14ac:dyDescent="0.25">
      <c r="A49" s="10" t="s">
        <v>8</v>
      </c>
      <c r="B49" s="10"/>
      <c r="C49" s="15"/>
      <c r="D49" s="15"/>
      <c r="E49" s="15"/>
      <c r="F49" s="15"/>
      <c r="G49" s="143">
        <f>299.45</f>
        <v>299.45</v>
      </c>
      <c r="H49" s="19">
        <v>1000</v>
      </c>
      <c r="I49" s="19">
        <f>+G49</f>
        <v>299.45</v>
      </c>
      <c r="J49" s="19">
        <v>1000</v>
      </c>
      <c r="L49" s="122"/>
    </row>
    <row r="50" spans="1:12" x14ac:dyDescent="0.25">
      <c r="A50" s="10" t="s">
        <v>12</v>
      </c>
      <c r="B50" s="10"/>
      <c r="C50" s="15"/>
      <c r="D50" s="15"/>
      <c r="E50" s="15"/>
      <c r="F50" s="15"/>
      <c r="G50" s="143"/>
      <c r="H50" s="19">
        <v>3000</v>
      </c>
      <c r="I50" s="19"/>
      <c r="J50" s="19">
        <v>3000</v>
      </c>
      <c r="L50" s="122"/>
    </row>
    <row r="51" spans="1:12" x14ac:dyDescent="0.25">
      <c r="A51" s="10" t="s">
        <v>1</v>
      </c>
      <c r="B51" s="10"/>
      <c r="C51" s="15"/>
      <c r="D51" s="15"/>
      <c r="E51" s="15"/>
      <c r="F51" s="15"/>
      <c r="G51" s="143">
        <f>495.81+706.2+507.49+5.5+33.5</f>
        <v>1748.5</v>
      </c>
      <c r="H51" s="19">
        <v>12000</v>
      </c>
      <c r="I51" s="19">
        <f>1439.3+766.75+505.73+776.7+515.67+47.2+741.46+G51</f>
        <v>6541.31</v>
      </c>
      <c r="J51" s="19">
        <v>12000</v>
      </c>
      <c r="L51" s="122"/>
    </row>
    <row r="52" spans="1:12" x14ac:dyDescent="0.25">
      <c r="A52" s="10" t="s">
        <v>15</v>
      </c>
      <c r="B52" s="10"/>
      <c r="C52" s="15"/>
      <c r="D52" s="15"/>
      <c r="E52" s="15"/>
      <c r="F52" s="15"/>
      <c r="G52" s="143"/>
      <c r="H52" s="19">
        <v>5000</v>
      </c>
      <c r="I52" s="19"/>
      <c r="J52" s="19">
        <v>5000</v>
      </c>
      <c r="L52" s="122"/>
    </row>
    <row r="53" spans="1:12" x14ac:dyDescent="0.25">
      <c r="A53" s="10" t="s">
        <v>42</v>
      </c>
      <c r="B53" s="10"/>
      <c r="C53" s="15"/>
      <c r="D53" s="15"/>
      <c r="E53" s="15"/>
      <c r="F53" s="15"/>
      <c r="G53" s="143">
        <f>582+194</f>
        <v>776</v>
      </c>
      <c r="H53" s="19">
        <v>3680</v>
      </c>
      <c r="I53" s="19">
        <f>388+194+G53</f>
        <v>1358</v>
      </c>
      <c r="J53" s="19">
        <v>3680</v>
      </c>
      <c r="L53" s="122"/>
    </row>
    <row r="54" spans="1:12" ht="14.4" thickBot="1" x14ac:dyDescent="0.3">
      <c r="A54" s="62" t="s">
        <v>124</v>
      </c>
      <c r="B54" s="62"/>
      <c r="C54" s="67"/>
      <c r="D54" s="67"/>
      <c r="E54" s="67"/>
      <c r="F54" s="67"/>
      <c r="G54" s="143">
        <f>55+35+1820+2652.68+90+50</f>
        <v>4702.68</v>
      </c>
      <c r="H54" s="19"/>
      <c r="I54" s="19">
        <f>169.5+1805.5+120+G54</f>
        <v>6797.68</v>
      </c>
      <c r="J54" s="19"/>
      <c r="L54" s="122"/>
    </row>
    <row r="55" spans="1:12" ht="16.5" customHeight="1" thickBot="1" x14ac:dyDescent="0.3">
      <c r="A55" s="20" t="s">
        <v>33</v>
      </c>
      <c r="B55" s="8"/>
      <c r="C55" s="13"/>
      <c r="D55" s="6"/>
      <c r="G55" s="145">
        <f>SUM(G36:G54)</f>
        <v>32954.600000000006</v>
      </c>
      <c r="H55" s="24">
        <f>SUM(H36:H54)</f>
        <v>39055</v>
      </c>
      <c r="I55" s="24">
        <f>SUM(I36:I54)</f>
        <v>42390.32</v>
      </c>
      <c r="J55" s="24">
        <f>SUM(J36:J54)</f>
        <v>39055</v>
      </c>
      <c r="K55" s="141">
        <f>+J55-I55+25175.68</f>
        <v>21840.36</v>
      </c>
    </row>
    <row r="56" spans="1:12" ht="3" customHeight="1" thickBot="1" x14ac:dyDescent="0.3">
      <c r="A56" s="20"/>
      <c r="B56" s="8"/>
      <c r="C56" s="13"/>
      <c r="D56" s="6"/>
      <c r="G56" s="147"/>
      <c r="H56" s="22"/>
      <c r="I56" s="22"/>
      <c r="J56" s="22"/>
    </row>
    <row r="57" spans="1:12" ht="14.4" thickBot="1" x14ac:dyDescent="0.3">
      <c r="A57" s="20" t="s">
        <v>34</v>
      </c>
      <c r="B57" s="14"/>
      <c r="C57" s="6"/>
      <c r="D57" s="6"/>
      <c r="G57" s="148">
        <f>+G32+G55</f>
        <v>37378.700000000004</v>
      </c>
      <c r="H57" s="26">
        <f>+H32+H55</f>
        <v>50055</v>
      </c>
      <c r="I57" s="26">
        <f>+I32+I55</f>
        <v>50074.42</v>
      </c>
      <c r="J57" s="26">
        <f>+J32+J55</f>
        <v>50055</v>
      </c>
      <c r="K57" s="136"/>
    </row>
    <row r="58" spans="1:12" ht="3" customHeight="1" thickBot="1" x14ac:dyDescent="0.3">
      <c r="A58" s="20"/>
      <c r="B58" s="14"/>
      <c r="C58" s="6"/>
      <c r="D58" s="6"/>
      <c r="G58" s="149"/>
      <c r="H58" s="23"/>
      <c r="I58" s="23"/>
      <c r="J58" s="23"/>
      <c r="K58" s="136"/>
    </row>
    <row r="59" spans="1:12" ht="16.5" customHeight="1" thickBot="1" x14ac:dyDescent="0.3">
      <c r="A59" s="20" t="s">
        <v>31</v>
      </c>
      <c r="B59" s="8"/>
      <c r="C59" s="8"/>
      <c r="D59" s="8"/>
      <c r="E59" s="8"/>
      <c r="G59" s="150">
        <f>+G5+G26-G57</f>
        <v>19326.859999999986</v>
      </c>
      <c r="H59" s="25">
        <f>+H5+H26-H57</f>
        <v>12999.489999999998</v>
      </c>
      <c r="I59" s="25">
        <f>+I5+I26-I57</f>
        <v>39963.89</v>
      </c>
      <c r="J59" s="25">
        <f>+J5+J26-J57</f>
        <v>12999.489999999998</v>
      </c>
      <c r="K59" s="136"/>
    </row>
    <row r="60" spans="1:12" ht="3.9" customHeight="1" thickBot="1" x14ac:dyDescent="0.3">
      <c r="A60" s="20"/>
      <c r="B60" s="8"/>
      <c r="C60" s="8"/>
      <c r="D60" s="6"/>
      <c r="G60" s="151"/>
      <c r="H60" s="10"/>
      <c r="J60" s="10"/>
    </row>
    <row r="61" spans="1:12" ht="14.4" thickBot="1" x14ac:dyDescent="0.3">
      <c r="A61" s="20" t="s">
        <v>41</v>
      </c>
      <c r="B61" s="14"/>
      <c r="C61" s="6"/>
      <c r="D61" s="14"/>
      <c r="G61" s="150">
        <v>5000</v>
      </c>
      <c r="H61" s="25">
        <v>5000</v>
      </c>
      <c r="I61" s="25">
        <v>5000</v>
      </c>
      <c r="J61" s="25">
        <v>5000</v>
      </c>
    </row>
    <row r="62" spans="1:12" ht="3.9" customHeight="1" thickBot="1" x14ac:dyDescent="0.3">
      <c r="A62" s="8"/>
      <c r="B62" s="8"/>
      <c r="C62" s="8"/>
      <c r="D62" s="11"/>
      <c r="E62" s="11"/>
      <c r="G62" s="147"/>
    </row>
    <row r="63" spans="1:12" ht="14.4" thickBot="1" x14ac:dyDescent="0.3">
      <c r="A63" s="20" t="s">
        <v>43</v>
      </c>
      <c r="B63" s="10"/>
      <c r="C63" s="10"/>
      <c r="D63" s="10"/>
      <c r="E63" s="10"/>
      <c r="F63" s="10"/>
      <c r="G63" s="150">
        <f>+G59-G61</f>
        <v>14326.859999999986</v>
      </c>
      <c r="H63" s="25">
        <f>+H59-H61</f>
        <v>7999.489999999998</v>
      </c>
      <c r="I63" s="25">
        <f>+I59-I61</f>
        <v>34963.89</v>
      </c>
      <c r="J63" s="25">
        <f>+J59-J61</f>
        <v>7999.489999999998</v>
      </c>
    </row>
    <row r="64" spans="1:12" x14ac:dyDescent="0.25">
      <c r="A64" s="4"/>
      <c r="B64" s="10"/>
      <c r="C64" s="10"/>
      <c r="D64" s="10"/>
      <c r="E64" s="10"/>
      <c r="F64" s="10"/>
      <c r="G64" s="10"/>
    </row>
    <row r="65" spans="1:7" x14ac:dyDescent="0.25">
      <c r="A65" s="4"/>
      <c r="B65" s="14"/>
      <c r="C65" s="6"/>
      <c r="D65" s="14"/>
    </row>
    <row r="66" spans="1:7" x14ac:dyDescent="0.25">
      <c r="A66" s="8"/>
      <c r="B66" s="11"/>
      <c r="C66" s="11"/>
      <c r="D66" s="11"/>
      <c r="E66" s="11"/>
      <c r="F66" s="11"/>
      <c r="G66" s="11"/>
    </row>
    <row r="67" spans="1:7" x14ac:dyDescent="0.25">
      <c r="A67" s="4"/>
      <c r="B67" s="12"/>
      <c r="C67" s="13"/>
      <c r="D67" s="14"/>
    </row>
    <row r="68" spans="1:7" x14ac:dyDescent="0.25">
      <c r="A68" s="4"/>
      <c r="B68" s="12"/>
      <c r="C68" s="13"/>
      <c r="D68" s="14"/>
    </row>
    <row r="69" spans="1:7" x14ac:dyDescent="0.25">
      <c r="A69" s="4"/>
      <c r="B69" s="12"/>
      <c r="C69" s="13"/>
      <c r="D69" s="14"/>
    </row>
    <row r="70" spans="1:7" x14ac:dyDescent="0.25">
      <c r="A70" s="4"/>
      <c r="B70" s="14"/>
      <c r="C70" s="6"/>
      <c r="D70" s="14"/>
    </row>
    <row r="71" spans="1:7" x14ac:dyDescent="0.25">
      <c r="A71" s="20"/>
      <c r="B71" s="14"/>
      <c r="C71" s="6"/>
      <c r="D71" s="14"/>
    </row>
    <row r="72" spans="1:7" x14ac:dyDescent="0.25">
      <c r="A72" s="6"/>
      <c r="B72" s="9"/>
      <c r="C72" s="9"/>
      <c r="D72" s="9"/>
      <c r="E72" s="9"/>
      <c r="F72" s="9"/>
      <c r="G72" s="9"/>
    </row>
    <row r="73" spans="1:7" x14ac:dyDescent="0.25">
      <c r="A73" s="4"/>
      <c r="B73" s="14"/>
      <c r="C73" s="6"/>
      <c r="D73" s="14"/>
    </row>
    <row r="74" spans="1:7" x14ac:dyDescent="0.25">
      <c r="A74" s="4"/>
      <c r="B74" s="14"/>
      <c r="C74" s="6"/>
      <c r="D74" s="14"/>
    </row>
    <row r="75" spans="1:7" x14ac:dyDescent="0.25">
      <c r="A75" s="8"/>
      <c r="B75" s="10"/>
      <c r="C75" s="10"/>
      <c r="D75" s="10"/>
      <c r="E75" s="10"/>
      <c r="F75" s="10"/>
      <c r="G75" s="10"/>
    </row>
    <row r="76" spans="1:7" x14ac:dyDescent="0.25">
      <c r="A76" s="4"/>
      <c r="B76" s="14"/>
      <c r="C76" s="6"/>
      <c r="D76" s="14"/>
    </row>
    <row r="77" spans="1:7" x14ac:dyDescent="0.25">
      <c r="A77" s="8"/>
      <c r="B77" s="7"/>
      <c r="C77" s="7"/>
      <c r="D77" s="14"/>
    </row>
    <row r="78" spans="1:7" x14ac:dyDescent="0.25">
      <c r="A78" s="6"/>
      <c r="B78" s="7"/>
      <c r="C78" s="7"/>
      <c r="D78" s="7"/>
      <c r="E78" s="10"/>
    </row>
    <row r="79" spans="1:7" x14ac:dyDescent="0.25">
      <c r="A79" s="4"/>
      <c r="B79" s="14"/>
      <c r="C79" s="6"/>
      <c r="D79" s="14"/>
    </row>
    <row r="80" spans="1:7" x14ac:dyDescent="0.25">
      <c r="A80" s="6"/>
      <c r="B80" s="7"/>
      <c r="C80" s="7"/>
      <c r="D80" s="7"/>
    </row>
    <row r="81" spans="1:6" x14ac:dyDescent="0.25">
      <c r="A81" s="4"/>
      <c r="B81" s="14"/>
      <c r="C81" s="6"/>
      <c r="D81" s="14"/>
    </row>
    <row r="82" spans="1:6" x14ac:dyDescent="0.25">
      <c r="A82" s="4"/>
      <c r="B82" s="14"/>
      <c r="C82" s="6"/>
      <c r="D82" s="14"/>
    </row>
    <row r="83" spans="1:6" x14ac:dyDescent="0.25">
      <c r="A83" s="8"/>
      <c r="B83" s="11"/>
      <c r="C83" s="11"/>
      <c r="D83" s="11"/>
      <c r="E83" s="11"/>
      <c r="F83" s="11"/>
    </row>
    <row r="84" spans="1:6" x14ac:dyDescent="0.25">
      <c r="A84" s="4"/>
      <c r="B84" s="14"/>
      <c r="C84" s="6"/>
      <c r="D84" s="14"/>
    </row>
    <row r="85" spans="1:6" x14ac:dyDescent="0.25">
      <c r="A85" s="4"/>
      <c r="B85" s="14"/>
      <c r="C85" s="6"/>
      <c r="D85" s="14"/>
    </row>
    <row r="86" spans="1:6" x14ac:dyDescent="0.25">
      <c r="A86" s="5"/>
      <c r="B86" s="5"/>
      <c r="C86" s="6"/>
      <c r="D86" s="14"/>
    </row>
    <row r="87" spans="1:6" x14ac:dyDescent="0.25">
      <c r="A87" s="6"/>
      <c r="B87" s="7"/>
      <c r="C87" s="7"/>
      <c r="D87" s="14"/>
    </row>
    <row r="88" spans="1:6" x14ac:dyDescent="0.25">
      <c r="A88" s="4"/>
      <c r="B88" s="7"/>
      <c r="C88" s="7"/>
      <c r="D88" s="14"/>
    </row>
    <row r="89" spans="1:6" x14ac:dyDescent="0.25">
      <c r="A89" s="6"/>
      <c r="B89" s="7"/>
      <c r="C89" s="7"/>
      <c r="D89" s="14"/>
    </row>
    <row r="90" spans="1:6" x14ac:dyDescent="0.25">
      <c r="A90" s="4"/>
      <c r="B90" s="7"/>
      <c r="C90" s="7"/>
      <c r="D90" s="14"/>
    </row>
    <row r="91" spans="1:6" x14ac:dyDescent="0.25">
      <c r="A91" s="8"/>
      <c r="B91" s="8"/>
      <c r="C91" s="8"/>
      <c r="D91" s="7"/>
    </row>
    <row r="92" spans="1:6" x14ac:dyDescent="0.25">
      <c r="A92" s="4"/>
    </row>
    <row r="93" spans="1:6" x14ac:dyDescent="0.25">
      <c r="A93" s="16"/>
    </row>
    <row r="94" spans="1:6" x14ac:dyDescent="0.25">
      <c r="A94" s="4"/>
    </row>
  </sheetData>
  <sortState ref="A27:J54">
    <sortCondition ref="A27"/>
  </sortState>
  <pageMargins left="0.23622047244094491" right="0.23622047244094491" top="0.23622047244094491" bottom="0.23622047244094491" header="0" footer="0"/>
  <pageSetup scale="8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05"/>
  <sheetViews>
    <sheetView tabSelected="1" zoomScaleNormal="100" workbookViewId="0">
      <pane xSplit="1" ySplit="5" topLeftCell="B68" activePane="bottomRight" state="frozen"/>
      <selection pane="topRight" activeCell="B1" sqref="B1"/>
      <selection pane="bottomLeft" activeCell="A6" sqref="A6"/>
      <selection pane="bottomRight" activeCell="B57" sqref="B57"/>
    </sheetView>
  </sheetViews>
  <sheetFormatPr defaultColWidth="9.109375" defaultRowHeight="13.2" x14ac:dyDescent="0.25"/>
  <cols>
    <col min="1" max="1" width="17.5546875" style="41" customWidth="1"/>
    <col min="2" max="4" width="12.6640625" style="41" customWidth="1"/>
    <col min="5" max="5" width="12.6640625" style="85" customWidth="1"/>
    <col min="6" max="7" width="12.6640625" style="41" customWidth="1"/>
    <col min="8" max="8" width="15.109375" style="41" customWidth="1"/>
    <col min="9" max="9" width="20" style="41" customWidth="1"/>
    <col min="10" max="10" width="28.109375" style="41" customWidth="1"/>
    <col min="11" max="11" width="53" style="41" customWidth="1"/>
    <col min="12" max="16384" width="9.109375" style="41"/>
  </cols>
  <sheetData>
    <row r="1" spans="1:12" s="30" customFormat="1" x14ac:dyDescent="0.25">
      <c r="A1" s="41" t="s">
        <v>57</v>
      </c>
      <c r="B1" s="41"/>
      <c r="C1" s="41"/>
      <c r="D1" s="41"/>
      <c r="E1" s="85"/>
      <c r="F1" s="46">
        <f>7154.49+150</f>
        <v>7304.49</v>
      </c>
      <c r="G1" s="41"/>
      <c r="I1" s="41" t="s">
        <v>154</v>
      </c>
      <c r="J1" s="107">
        <v>42438</v>
      </c>
      <c r="K1" s="41"/>
    </row>
    <row r="2" spans="1:12" s="30" customFormat="1" x14ac:dyDescent="0.25">
      <c r="A2" s="41" t="s">
        <v>182</v>
      </c>
      <c r="B2" s="41"/>
      <c r="C2" s="41"/>
      <c r="D2" s="41"/>
      <c r="E2" s="85"/>
      <c r="F2" s="41"/>
      <c r="G2" s="41"/>
      <c r="H2" s="41"/>
      <c r="I2" s="41"/>
      <c r="J2" s="41"/>
      <c r="K2" s="41"/>
    </row>
    <row r="3" spans="1:12" s="30" customFormat="1" ht="13.8" thickBot="1" x14ac:dyDescent="0.3">
      <c r="A3" s="41"/>
      <c r="B3" s="41"/>
      <c r="C3" s="41"/>
      <c r="D3" s="41"/>
      <c r="E3" s="85"/>
      <c r="F3" s="41"/>
      <c r="G3" s="41"/>
      <c r="H3" s="41"/>
      <c r="I3" s="41"/>
      <c r="J3" s="41"/>
      <c r="K3" s="41"/>
    </row>
    <row r="4" spans="1:12" s="30" customFormat="1" ht="13.8" thickBot="1" x14ac:dyDescent="0.3">
      <c r="A4" s="31"/>
      <c r="B4" s="156" t="s">
        <v>44</v>
      </c>
      <c r="C4" s="157"/>
      <c r="D4" s="158"/>
      <c r="E4" s="159" t="s">
        <v>45</v>
      </c>
      <c r="F4" s="157"/>
      <c r="G4" s="32" t="s">
        <v>46</v>
      </c>
      <c r="H4" s="33"/>
      <c r="I4" s="34"/>
      <c r="J4" s="34"/>
      <c r="K4" s="35"/>
    </row>
    <row r="5" spans="1:12" s="30" customFormat="1" ht="13.8" thickBot="1" x14ac:dyDescent="0.3">
      <c r="A5" s="36" t="s">
        <v>47</v>
      </c>
      <c r="B5" s="37" t="s">
        <v>48</v>
      </c>
      <c r="C5" s="37" t="s">
        <v>49</v>
      </c>
      <c r="D5" s="38" t="s">
        <v>50</v>
      </c>
      <c r="E5" s="84" t="s">
        <v>51</v>
      </c>
      <c r="F5" s="38" t="s">
        <v>52</v>
      </c>
      <c r="G5" s="39" t="s">
        <v>31</v>
      </c>
      <c r="H5" s="40" t="s">
        <v>53</v>
      </c>
      <c r="I5" s="40" t="s">
        <v>54</v>
      </c>
      <c r="J5" s="40" t="s">
        <v>55</v>
      </c>
      <c r="K5" s="40" t="s">
        <v>56</v>
      </c>
    </row>
    <row r="6" spans="1:12" hidden="1" x14ac:dyDescent="0.25">
      <c r="A6" s="91">
        <v>42279</v>
      </c>
      <c r="B6" s="80"/>
      <c r="C6" s="80"/>
      <c r="D6" s="80"/>
      <c r="E6" s="89">
        <v>155</v>
      </c>
      <c r="F6" s="101">
        <v>150</v>
      </c>
      <c r="G6" s="80">
        <f>+F1-F6</f>
        <v>7154.49</v>
      </c>
      <c r="H6" s="81" t="s">
        <v>133</v>
      </c>
      <c r="I6" s="81" t="s">
        <v>141</v>
      </c>
      <c r="J6" s="81" t="s">
        <v>58</v>
      </c>
      <c r="K6" s="93" t="s">
        <v>44</v>
      </c>
    </row>
    <row r="7" spans="1:12" hidden="1" x14ac:dyDescent="0.25">
      <c r="A7" s="73">
        <v>42298</v>
      </c>
      <c r="B7" s="47">
        <v>3313</v>
      </c>
      <c r="C7" s="47">
        <v>4295.75</v>
      </c>
      <c r="D7" s="100">
        <f>+B7+C7</f>
        <v>7608.75</v>
      </c>
      <c r="E7" s="86"/>
      <c r="F7" s="47"/>
      <c r="G7" s="47">
        <f>+G6+D7-F7</f>
        <v>14763.24</v>
      </c>
      <c r="H7" s="42"/>
      <c r="I7" s="42" t="s">
        <v>116</v>
      </c>
      <c r="J7" s="42"/>
      <c r="K7" s="43" t="s">
        <v>117</v>
      </c>
      <c r="L7" s="41">
        <v>16489.55</v>
      </c>
    </row>
    <row r="8" spans="1:12" hidden="1" x14ac:dyDescent="0.25">
      <c r="A8" s="73">
        <v>42270</v>
      </c>
      <c r="B8" s="47">
        <v>80</v>
      </c>
      <c r="C8" s="47"/>
      <c r="D8" s="100">
        <f>+B8+C8</f>
        <v>80</v>
      </c>
      <c r="E8" s="86"/>
      <c r="F8" s="47"/>
      <c r="G8" s="47">
        <f t="shared" ref="G8:G51" si="0">+G7+D8-F8</f>
        <v>14843.24</v>
      </c>
      <c r="H8" s="42"/>
      <c r="I8" s="42" t="s">
        <v>91</v>
      </c>
      <c r="J8" s="42"/>
      <c r="K8" s="43" t="s">
        <v>132</v>
      </c>
    </row>
    <row r="9" spans="1:12" hidden="1" x14ac:dyDescent="0.25">
      <c r="A9" s="73">
        <v>42305</v>
      </c>
      <c r="B9" s="47"/>
      <c r="C9" s="47">
        <v>18</v>
      </c>
      <c r="D9" s="100">
        <f>+B9+C9</f>
        <v>18</v>
      </c>
      <c r="E9" s="86"/>
      <c r="F9" s="47"/>
      <c r="G9" s="47">
        <f t="shared" si="0"/>
        <v>14861.24</v>
      </c>
      <c r="H9" s="42"/>
      <c r="I9" s="42" t="s">
        <v>116</v>
      </c>
      <c r="J9" s="42"/>
      <c r="K9" s="43" t="s">
        <v>125</v>
      </c>
    </row>
    <row r="10" spans="1:12" hidden="1" x14ac:dyDescent="0.25">
      <c r="A10" s="73">
        <v>42305</v>
      </c>
      <c r="B10" s="47">
        <v>225</v>
      </c>
      <c r="C10" s="47">
        <v>1755</v>
      </c>
      <c r="D10" s="100">
        <f>+B10+C10</f>
        <v>1980</v>
      </c>
      <c r="E10" s="86"/>
      <c r="F10" s="47"/>
      <c r="G10" s="47">
        <f t="shared" si="0"/>
        <v>16841.239999999998</v>
      </c>
      <c r="H10" s="42"/>
      <c r="I10" s="42" t="s">
        <v>126</v>
      </c>
      <c r="J10" s="42"/>
      <c r="K10" s="43" t="s">
        <v>127</v>
      </c>
      <c r="L10" s="41">
        <v>18463.55</v>
      </c>
    </row>
    <row r="11" spans="1:12" hidden="1" x14ac:dyDescent="0.25">
      <c r="A11" s="73">
        <v>42305</v>
      </c>
      <c r="B11" s="47"/>
      <c r="C11" s="47"/>
      <c r="D11" s="47"/>
      <c r="E11" s="86">
        <v>156</v>
      </c>
      <c r="F11" s="100">
        <v>696.25</v>
      </c>
      <c r="G11" s="47">
        <f t="shared" si="0"/>
        <v>16144.989999999998</v>
      </c>
      <c r="H11" s="42">
        <v>31438</v>
      </c>
      <c r="I11" s="42" t="s">
        <v>116</v>
      </c>
      <c r="J11" s="42" t="s">
        <v>158</v>
      </c>
      <c r="K11" s="43" t="s">
        <v>128</v>
      </c>
    </row>
    <row r="12" spans="1:12" hidden="1" x14ac:dyDescent="0.25">
      <c r="A12" s="73">
        <v>42305</v>
      </c>
      <c r="B12" s="47"/>
      <c r="C12" s="47"/>
      <c r="D12" s="47"/>
      <c r="E12" s="86">
        <v>157</v>
      </c>
      <c r="F12" s="100">
        <v>1583.6</v>
      </c>
      <c r="G12" s="47">
        <f t="shared" si="0"/>
        <v>14561.389999999998</v>
      </c>
      <c r="H12" s="42">
        <v>46669</v>
      </c>
      <c r="I12" s="42" t="s">
        <v>126</v>
      </c>
      <c r="J12" s="42" t="s">
        <v>129</v>
      </c>
      <c r="K12" s="43" t="s">
        <v>130</v>
      </c>
    </row>
    <row r="13" spans="1:12" hidden="1" x14ac:dyDescent="0.25">
      <c r="A13" s="83">
        <v>42300</v>
      </c>
      <c r="B13" s="76"/>
      <c r="C13" s="76"/>
      <c r="D13" s="76"/>
      <c r="E13" s="87"/>
      <c r="F13" s="102">
        <v>18</v>
      </c>
      <c r="G13" s="47">
        <f t="shared" si="0"/>
        <v>14543.389999999998</v>
      </c>
      <c r="H13" s="42"/>
      <c r="I13" s="42" t="s">
        <v>116</v>
      </c>
      <c r="J13" s="42"/>
      <c r="K13" s="43" t="s">
        <v>134</v>
      </c>
    </row>
    <row r="14" spans="1:12" ht="13.8" hidden="1" thickBot="1" x14ac:dyDescent="0.3">
      <c r="A14" s="83">
        <v>42300</v>
      </c>
      <c r="B14" s="76"/>
      <c r="C14" s="76"/>
      <c r="D14" s="76"/>
      <c r="E14" s="87"/>
      <c r="F14" s="102">
        <v>6</v>
      </c>
      <c r="G14" s="76">
        <f t="shared" si="0"/>
        <v>14537.389999999998</v>
      </c>
      <c r="H14" s="79"/>
      <c r="I14" s="79" t="s">
        <v>116</v>
      </c>
      <c r="J14" s="79"/>
      <c r="K14" s="92" t="s">
        <v>153</v>
      </c>
    </row>
    <row r="15" spans="1:12" s="97" customFormat="1" thickBot="1" x14ac:dyDescent="0.25">
      <c r="A15" s="78" t="s">
        <v>131</v>
      </c>
      <c r="B15" s="82">
        <f>SUM(B6:B14)</f>
        <v>3618</v>
      </c>
      <c r="C15" s="82">
        <f>SUM(C6:C14)</f>
        <v>6068.75</v>
      </c>
      <c r="D15" s="82">
        <f>SUM(D6:D14)</f>
        <v>9686.75</v>
      </c>
      <c r="E15" s="88"/>
      <c r="F15" s="82">
        <f>SUM(F6:F14)</f>
        <v>2453.85</v>
      </c>
      <c r="G15" s="94">
        <f>F1+D15-F15</f>
        <v>14537.389999999998</v>
      </c>
      <c r="H15" s="95"/>
      <c r="I15" s="95"/>
      <c r="J15" s="95"/>
      <c r="K15" s="96"/>
    </row>
    <row r="16" spans="1:12" hidden="1" x14ac:dyDescent="0.25">
      <c r="A16" s="91">
        <v>42312</v>
      </c>
      <c r="B16" s="80"/>
      <c r="C16" s="80"/>
      <c r="D16" s="80"/>
      <c r="E16" s="89" t="s">
        <v>135</v>
      </c>
      <c r="F16" s="101">
        <v>615.04999999999995</v>
      </c>
      <c r="G16" s="80">
        <f>+G15+D16-F16</f>
        <v>13922.339999999998</v>
      </c>
      <c r="H16" s="81">
        <v>171192</v>
      </c>
      <c r="I16" s="81" t="s">
        <v>116</v>
      </c>
      <c r="J16" s="81" t="s">
        <v>136</v>
      </c>
      <c r="K16" s="93" t="s">
        <v>137</v>
      </c>
    </row>
    <row r="17" spans="1:12" hidden="1" x14ac:dyDescent="0.25">
      <c r="A17" s="73">
        <v>42312</v>
      </c>
      <c r="B17" s="47"/>
      <c r="C17" s="47"/>
      <c r="D17" s="47"/>
      <c r="E17" s="86" t="s">
        <v>138</v>
      </c>
      <c r="F17" s="100">
        <v>94</v>
      </c>
      <c r="G17" s="47">
        <f t="shared" si="0"/>
        <v>13828.339999999998</v>
      </c>
      <c r="H17" s="42">
        <v>38811</v>
      </c>
      <c r="I17" s="42" t="s">
        <v>116</v>
      </c>
      <c r="J17" s="42" t="s">
        <v>139</v>
      </c>
      <c r="K17" s="43" t="s">
        <v>140</v>
      </c>
    </row>
    <row r="18" spans="1:12" hidden="1" x14ac:dyDescent="0.25">
      <c r="A18" s="73"/>
      <c r="B18" s="47"/>
      <c r="C18" s="47"/>
      <c r="D18" s="47"/>
      <c r="E18" s="86" t="s">
        <v>146</v>
      </c>
      <c r="F18" s="100">
        <v>10</v>
      </c>
      <c r="G18" s="47">
        <f t="shared" si="0"/>
        <v>13818.339999999998</v>
      </c>
      <c r="H18" s="42"/>
      <c r="I18" s="42" t="s">
        <v>116</v>
      </c>
      <c r="J18" s="42" t="s">
        <v>147</v>
      </c>
      <c r="K18" s="43" t="s">
        <v>148</v>
      </c>
    </row>
    <row r="19" spans="1:12" hidden="1" x14ac:dyDescent="0.25">
      <c r="A19" s="73">
        <v>42312</v>
      </c>
      <c r="B19" s="47"/>
      <c r="C19" s="47">
        <v>73</v>
      </c>
      <c r="D19" s="100">
        <f t="shared" ref="D19:D28" si="1">+B19+C19</f>
        <v>73</v>
      </c>
      <c r="E19" s="86"/>
      <c r="F19" s="47"/>
      <c r="G19" s="47">
        <f t="shared" si="0"/>
        <v>13891.339999999998</v>
      </c>
      <c r="H19" s="42"/>
      <c r="I19" s="42" t="s">
        <v>116</v>
      </c>
      <c r="J19" s="42"/>
      <c r="K19" s="43" t="s">
        <v>144</v>
      </c>
    </row>
    <row r="20" spans="1:12" hidden="1" x14ac:dyDescent="0.25">
      <c r="A20" s="73">
        <v>42313</v>
      </c>
      <c r="B20" s="47">
        <v>1495.4</v>
      </c>
      <c r="C20" s="47">
        <v>520</v>
      </c>
      <c r="D20" s="100">
        <f t="shared" si="1"/>
        <v>2015.4</v>
      </c>
      <c r="E20" s="86"/>
      <c r="F20" s="47"/>
      <c r="G20" s="47">
        <f t="shared" si="0"/>
        <v>15906.739999999998</v>
      </c>
      <c r="H20" s="42"/>
      <c r="I20" s="42" t="s">
        <v>141</v>
      </c>
      <c r="J20" s="42"/>
      <c r="K20" s="43" t="s">
        <v>145</v>
      </c>
    </row>
    <row r="21" spans="1:12" hidden="1" x14ac:dyDescent="0.25">
      <c r="A21" s="73">
        <v>42313</v>
      </c>
      <c r="B21" s="47">
        <v>285</v>
      </c>
      <c r="C21" s="47">
        <v>100</v>
      </c>
      <c r="D21" s="100">
        <f t="shared" si="1"/>
        <v>385</v>
      </c>
      <c r="E21" s="86"/>
      <c r="F21" s="47"/>
      <c r="G21" s="47">
        <f t="shared" si="0"/>
        <v>16291.739999999998</v>
      </c>
      <c r="H21" s="42"/>
      <c r="I21" s="42" t="s">
        <v>141</v>
      </c>
      <c r="J21" s="42"/>
      <c r="K21" s="43" t="s">
        <v>145</v>
      </c>
    </row>
    <row r="22" spans="1:12" hidden="1" x14ac:dyDescent="0.25">
      <c r="A22" s="73">
        <v>42313</v>
      </c>
      <c r="B22" s="47">
        <v>6505.05</v>
      </c>
      <c r="C22" s="47">
        <v>1827</v>
      </c>
      <c r="D22" s="100">
        <f t="shared" si="1"/>
        <v>8332.0499999999993</v>
      </c>
      <c r="E22" s="86"/>
      <c r="F22" s="47"/>
      <c r="G22" s="47">
        <f t="shared" si="0"/>
        <v>24623.789999999997</v>
      </c>
      <c r="H22" s="42"/>
      <c r="I22" s="42" t="s">
        <v>141</v>
      </c>
      <c r="J22" s="42"/>
      <c r="K22" s="43" t="s">
        <v>145</v>
      </c>
    </row>
    <row r="23" spans="1:12" hidden="1" x14ac:dyDescent="0.25">
      <c r="A23" s="73">
        <v>42313</v>
      </c>
      <c r="B23" s="47">
        <v>25</v>
      </c>
      <c r="C23" s="47"/>
      <c r="D23" s="100">
        <f t="shared" si="1"/>
        <v>25</v>
      </c>
      <c r="E23" s="86"/>
      <c r="F23" s="47"/>
      <c r="G23" s="47">
        <f t="shared" si="0"/>
        <v>24648.789999999997</v>
      </c>
      <c r="H23" s="42"/>
      <c r="I23" s="42" t="s">
        <v>141</v>
      </c>
      <c r="J23" s="42"/>
      <c r="K23" s="43" t="s">
        <v>145</v>
      </c>
      <c r="L23" s="41">
        <v>10830.45</v>
      </c>
    </row>
    <row r="24" spans="1:12" hidden="1" x14ac:dyDescent="0.25">
      <c r="A24" s="73">
        <v>42319</v>
      </c>
      <c r="B24" s="47"/>
      <c r="C24" s="47"/>
      <c r="D24" s="47">
        <f t="shared" si="1"/>
        <v>0</v>
      </c>
      <c r="E24" s="86" t="s">
        <v>149</v>
      </c>
      <c r="F24" s="100">
        <v>800</v>
      </c>
      <c r="G24" s="47">
        <f t="shared" si="0"/>
        <v>23848.789999999997</v>
      </c>
      <c r="H24" s="42">
        <v>2137</v>
      </c>
      <c r="I24" s="42" t="s">
        <v>141</v>
      </c>
      <c r="J24" s="42" t="s">
        <v>58</v>
      </c>
      <c r="K24" s="43" t="s">
        <v>150</v>
      </c>
    </row>
    <row r="25" spans="1:12" hidden="1" x14ac:dyDescent="0.25">
      <c r="A25" s="73">
        <v>42319</v>
      </c>
      <c r="B25" s="47">
        <v>1310</v>
      </c>
      <c r="C25" s="47"/>
      <c r="D25" s="100">
        <f t="shared" si="1"/>
        <v>1310</v>
      </c>
      <c r="E25" s="86"/>
      <c r="F25" s="100">
        <f>1310</f>
        <v>1310</v>
      </c>
      <c r="G25" s="47">
        <f t="shared" si="0"/>
        <v>23848.789999999997</v>
      </c>
      <c r="H25" s="42"/>
      <c r="I25" s="42" t="s">
        <v>141</v>
      </c>
      <c r="J25" s="42" t="s">
        <v>58</v>
      </c>
      <c r="K25" s="43" t="s">
        <v>142</v>
      </c>
    </row>
    <row r="26" spans="1:12" hidden="1" x14ac:dyDescent="0.25">
      <c r="A26" s="73">
        <v>42319</v>
      </c>
      <c r="B26" s="47"/>
      <c r="C26" s="47"/>
      <c r="D26" s="47"/>
      <c r="E26" s="86" t="s">
        <v>151</v>
      </c>
      <c r="F26" s="100">
        <v>1000</v>
      </c>
      <c r="G26" s="47">
        <f t="shared" si="0"/>
        <v>22848.789999999997</v>
      </c>
      <c r="H26" s="42"/>
      <c r="I26" s="42" t="s">
        <v>141</v>
      </c>
      <c r="J26" s="42" t="s">
        <v>159</v>
      </c>
      <c r="K26" s="43" t="s">
        <v>152</v>
      </c>
    </row>
    <row r="27" spans="1:12" hidden="1" x14ac:dyDescent="0.25">
      <c r="A27" s="73">
        <v>42319</v>
      </c>
      <c r="B27" s="47">
        <v>85</v>
      </c>
      <c r="C27" s="47">
        <v>95</v>
      </c>
      <c r="D27" s="100">
        <f t="shared" si="1"/>
        <v>180</v>
      </c>
      <c r="E27" s="86"/>
      <c r="F27" s="47"/>
      <c r="G27" s="47">
        <f t="shared" si="0"/>
        <v>23028.789999999997</v>
      </c>
      <c r="H27" s="42"/>
      <c r="I27" s="42" t="s">
        <v>141</v>
      </c>
      <c r="J27" s="42"/>
      <c r="K27" s="43" t="s">
        <v>145</v>
      </c>
    </row>
    <row r="28" spans="1:12" ht="13.8" hidden="1" thickBot="1" x14ac:dyDescent="0.3">
      <c r="A28" s="83">
        <v>42319</v>
      </c>
      <c r="B28" s="76">
        <v>17</v>
      </c>
      <c r="C28" s="76"/>
      <c r="D28" s="102">
        <f t="shared" si="1"/>
        <v>17</v>
      </c>
      <c r="E28" s="87"/>
      <c r="F28" s="76"/>
      <c r="G28" s="76">
        <f t="shared" si="0"/>
        <v>23045.789999999997</v>
      </c>
      <c r="H28" s="79"/>
      <c r="I28" s="79" t="s">
        <v>116</v>
      </c>
      <c r="J28" s="79"/>
      <c r="K28" s="92" t="s">
        <v>145</v>
      </c>
      <c r="L28" s="41">
        <v>11027.45</v>
      </c>
    </row>
    <row r="29" spans="1:12" s="97" customFormat="1" thickBot="1" x14ac:dyDescent="0.25">
      <c r="A29" s="108" t="s">
        <v>143</v>
      </c>
      <c r="B29" s="109">
        <f>SUM(B16:B28)</f>
        <v>9722.4500000000007</v>
      </c>
      <c r="C29" s="109">
        <f>SUM(C16:C28)</f>
        <v>2615</v>
      </c>
      <c r="D29" s="109">
        <f>SUM(D16:D28)</f>
        <v>12337.449999999999</v>
      </c>
      <c r="E29" s="110"/>
      <c r="F29" s="109">
        <f>SUM(F16:F28)</f>
        <v>3829.05</v>
      </c>
      <c r="G29" s="109">
        <f>G15+D29-F29</f>
        <v>23045.789999999997</v>
      </c>
      <c r="H29" s="95"/>
      <c r="I29" s="95"/>
      <c r="J29" s="95"/>
      <c r="K29" s="96"/>
    </row>
    <row r="30" spans="1:12" hidden="1" x14ac:dyDescent="0.25">
      <c r="A30" s="91">
        <v>42333</v>
      </c>
      <c r="B30" s="80"/>
      <c r="C30" s="80"/>
      <c r="D30" s="80"/>
      <c r="E30" s="89" t="s">
        <v>155</v>
      </c>
      <c r="F30" s="101">
        <v>766.75</v>
      </c>
      <c r="G30" s="80">
        <f>+G29+D30-F30</f>
        <v>22279.039999999997</v>
      </c>
      <c r="H30" s="81">
        <v>89187</v>
      </c>
      <c r="I30" s="81" t="s">
        <v>116</v>
      </c>
      <c r="J30" s="81" t="s">
        <v>158</v>
      </c>
      <c r="K30" s="93" t="s">
        <v>156</v>
      </c>
    </row>
    <row r="31" spans="1:12" hidden="1" x14ac:dyDescent="0.25">
      <c r="A31" s="91">
        <v>42704</v>
      </c>
      <c r="B31" s="80"/>
      <c r="C31" s="80"/>
      <c r="D31" s="80"/>
      <c r="E31" s="89"/>
      <c r="F31" s="101">
        <v>50.98</v>
      </c>
      <c r="G31" s="80">
        <f>+G30-D31-F31</f>
        <v>22228.059999999998</v>
      </c>
      <c r="H31" s="81"/>
      <c r="I31" s="81" t="s">
        <v>91</v>
      </c>
      <c r="J31" s="81"/>
      <c r="K31" s="93" t="s">
        <v>203</v>
      </c>
    </row>
    <row r="32" spans="1:12" hidden="1" x14ac:dyDescent="0.25">
      <c r="A32" s="73">
        <v>42340</v>
      </c>
      <c r="B32" s="47"/>
      <c r="C32" s="47"/>
      <c r="D32" s="47"/>
      <c r="E32" s="86" t="s">
        <v>157</v>
      </c>
      <c r="F32" s="100">
        <v>505.73</v>
      </c>
      <c r="G32" s="47">
        <f>+G31+D32-F32</f>
        <v>21722.329999999998</v>
      </c>
      <c r="H32" s="42">
        <v>17176</v>
      </c>
      <c r="I32" s="42" t="s">
        <v>116</v>
      </c>
      <c r="J32" s="42" t="s">
        <v>136</v>
      </c>
      <c r="K32" s="43" t="s">
        <v>156</v>
      </c>
    </row>
    <row r="33" spans="1:12" hidden="1" x14ac:dyDescent="0.25">
      <c r="A33" s="73">
        <v>42344</v>
      </c>
      <c r="B33" s="47"/>
      <c r="C33" s="47"/>
      <c r="D33" s="47"/>
      <c r="E33" s="86" t="s">
        <v>160</v>
      </c>
      <c r="F33" s="100">
        <v>169.5</v>
      </c>
      <c r="G33" s="47">
        <f t="shared" si="0"/>
        <v>21552.829999999998</v>
      </c>
      <c r="H33" s="115">
        <v>42671</v>
      </c>
      <c r="I33" s="42" t="s">
        <v>161</v>
      </c>
      <c r="J33" s="42" t="s">
        <v>162</v>
      </c>
      <c r="K33" s="43" t="s">
        <v>163</v>
      </c>
    </row>
    <row r="34" spans="1:12" hidden="1" x14ac:dyDescent="0.25">
      <c r="A34" s="73">
        <v>42353</v>
      </c>
      <c r="B34" s="47"/>
      <c r="C34" s="47"/>
      <c r="D34" s="47"/>
      <c r="E34" s="86" t="s">
        <v>165</v>
      </c>
      <c r="F34" s="100">
        <v>776.7</v>
      </c>
      <c r="G34" s="47">
        <f t="shared" si="0"/>
        <v>20776.129999999997</v>
      </c>
      <c r="H34" s="42">
        <v>85814</v>
      </c>
      <c r="I34" s="42" t="s">
        <v>116</v>
      </c>
      <c r="J34" s="42" t="s">
        <v>158</v>
      </c>
      <c r="K34" s="43" t="s">
        <v>166</v>
      </c>
    </row>
    <row r="35" spans="1:12" hidden="1" x14ac:dyDescent="0.25">
      <c r="A35" s="73">
        <v>42354</v>
      </c>
      <c r="B35" s="47">
        <v>397.55</v>
      </c>
      <c r="C35" s="47"/>
      <c r="D35" s="100">
        <f>+B35+C35</f>
        <v>397.55</v>
      </c>
      <c r="E35" s="86"/>
      <c r="F35" s="47"/>
      <c r="G35" s="47">
        <f t="shared" si="0"/>
        <v>21173.679999999997</v>
      </c>
      <c r="H35" s="42"/>
      <c r="I35" s="42" t="s">
        <v>167</v>
      </c>
      <c r="J35" s="42"/>
      <c r="K35" s="43" t="s">
        <v>168</v>
      </c>
    </row>
    <row r="36" spans="1:12" hidden="1" x14ac:dyDescent="0.25">
      <c r="A36" s="73">
        <v>42354</v>
      </c>
      <c r="B36" s="47">
        <f>1711.35+6.74</f>
        <v>1718.09</v>
      </c>
      <c r="C36" s="47"/>
      <c r="D36" s="100">
        <f>+B36+C36</f>
        <v>1718.09</v>
      </c>
      <c r="E36" s="86"/>
      <c r="F36" s="47"/>
      <c r="G36" s="47">
        <f t="shared" si="0"/>
        <v>22891.769999999997</v>
      </c>
      <c r="H36" s="42"/>
      <c r="I36" s="42" t="s">
        <v>169</v>
      </c>
      <c r="J36" s="42"/>
      <c r="K36" s="43" t="s">
        <v>168</v>
      </c>
      <c r="L36" s="41">
        <v>9293.84</v>
      </c>
    </row>
    <row r="37" spans="1:12" hidden="1" x14ac:dyDescent="0.25">
      <c r="A37" s="73">
        <v>42733</v>
      </c>
      <c r="B37" s="47">
        <v>1727.91</v>
      </c>
      <c r="C37" s="47"/>
      <c r="D37" s="100">
        <f>+B37+C37</f>
        <v>1727.91</v>
      </c>
      <c r="E37" s="86"/>
      <c r="F37" s="47"/>
      <c r="G37" s="47">
        <f t="shared" si="0"/>
        <v>24619.679999999997</v>
      </c>
      <c r="H37" s="42"/>
      <c r="I37" s="42" t="s">
        <v>161</v>
      </c>
      <c r="J37" s="42"/>
      <c r="K37" s="43" t="s">
        <v>170</v>
      </c>
    </row>
    <row r="38" spans="1:12" hidden="1" x14ac:dyDescent="0.25">
      <c r="A38" s="83">
        <v>42382</v>
      </c>
      <c r="B38" s="76"/>
      <c r="C38" s="76"/>
      <c r="D38" s="76"/>
      <c r="E38" s="87" t="s">
        <v>171</v>
      </c>
      <c r="F38" s="102">
        <v>200</v>
      </c>
      <c r="G38" s="47">
        <f t="shared" si="0"/>
        <v>24419.679999999997</v>
      </c>
      <c r="H38" s="79"/>
      <c r="I38" s="79" t="s">
        <v>172</v>
      </c>
      <c r="J38" s="79" t="s">
        <v>173</v>
      </c>
      <c r="K38" s="92" t="s">
        <v>174</v>
      </c>
    </row>
    <row r="39" spans="1:12" hidden="1" x14ac:dyDescent="0.25">
      <c r="A39" s="83">
        <v>42382</v>
      </c>
      <c r="B39" s="76"/>
      <c r="C39" s="76"/>
      <c r="D39" s="76"/>
      <c r="E39" s="87" t="s">
        <v>175</v>
      </c>
      <c r="F39" s="102">
        <v>36.450000000000003</v>
      </c>
      <c r="G39" s="47">
        <f t="shared" si="0"/>
        <v>24383.229999999996</v>
      </c>
      <c r="H39" s="79"/>
      <c r="I39" s="79" t="s">
        <v>172</v>
      </c>
      <c r="J39" s="79" t="s">
        <v>176</v>
      </c>
      <c r="K39" s="92" t="s">
        <v>174</v>
      </c>
    </row>
    <row r="40" spans="1:12" hidden="1" x14ac:dyDescent="0.25">
      <c r="A40" s="83">
        <v>42382</v>
      </c>
      <c r="B40" s="76"/>
      <c r="C40" s="76"/>
      <c r="D40" s="76"/>
      <c r="E40" s="87" t="s">
        <v>177</v>
      </c>
      <c r="F40" s="102">
        <v>388</v>
      </c>
      <c r="G40" s="47">
        <f t="shared" si="0"/>
        <v>23995.229999999996</v>
      </c>
      <c r="H40" s="79" t="s">
        <v>195</v>
      </c>
      <c r="I40" s="79" t="s">
        <v>178</v>
      </c>
      <c r="J40" s="125" t="s">
        <v>201</v>
      </c>
      <c r="K40" s="92"/>
    </row>
    <row r="41" spans="1:12" x14ac:dyDescent="0.25">
      <c r="A41" s="83">
        <v>42382</v>
      </c>
      <c r="B41" s="76"/>
      <c r="C41" s="76"/>
      <c r="D41" s="76"/>
      <c r="E41" s="87" t="s">
        <v>179</v>
      </c>
      <c r="F41" s="76">
        <v>1805.5</v>
      </c>
      <c r="G41" s="47">
        <f t="shared" si="0"/>
        <v>22189.729999999996</v>
      </c>
      <c r="H41" s="79"/>
      <c r="I41" s="79" t="s">
        <v>161</v>
      </c>
      <c r="J41" s="79" t="s">
        <v>180</v>
      </c>
      <c r="K41" s="92" t="s">
        <v>181</v>
      </c>
    </row>
    <row r="42" spans="1:12" x14ac:dyDescent="0.25">
      <c r="A42" s="83">
        <v>42382</v>
      </c>
      <c r="B42" s="76"/>
      <c r="C42" s="76"/>
      <c r="D42" s="76"/>
      <c r="E42" s="87" t="s">
        <v>183</v>
      </c>
      <c r="F42" s="102">
        <v>515.66999999999996</v>
      </c>
      <c r="G42" s="47">
        <f t="shared" si="0"/>
        <v>21674.059999999998</v>
      </c>
      <c r="H42" s="79">
        <v>172193</v>
      </c>
      <c r="I42" s="79" t="s">
        <v>116</v>
      </c>
      <c r="J42" s="79" t="s">
        <v>136</v>
      </c>
      <c r="K42" s="92" t="s">
        <v>166</v>
      </c>
    </row>
    <row r="43" spans="1:12" x14ac:dyDescent="0.25">
      <c r="A43" s="83">
        <v>42382</v>
      </c>
      <c r="B43" s="76">
        <v>300</v>
      </c>
      <c r="C43" s="76">
        <v>6163</v>
      </c>
      <c r="D43" s="100">
        <f>+B43+C43</f>
        <v>6463</v>
      </c>
      <c r="E43" s="87"/>
      <c r="F43" s="76"/>
      <c r="G43" s="47">
        <f t="shared" si="0"/>
        <v>28137.059999999998</v>
      </c>
      <c r="H43" s="79"/>
      <c r="I43" s="79" t="s">
        <v>161</v>
      </c>
      <c r="J43" s="79"/>
      <c r="K43" s="92" t="s">
        <v>184</v>
      </c>
      <c r="L43" s="41">
        <v>28746.83</v>
      </c>
    </row>
    <row r="44" spans="1:12" x14ac:dyDescent="0.25">
      <c r="A44" s="83">
        <v>42396</v>
      </c>
      <c r="B44" s="76"/>
      <c r="C44" s="76"/>
      <c r="D44" s="124"/>
      <c r="E44" s="87" t="s">
        <v>186</v>
      </c>
      <c r="F44" s="102">
        <v>120</v>
      </c>
      <c r="G44" s="47">
        <f t="shared" si="0"/>
        <v>28017.059999999998</v>
      </c>
      <c r="H44" s="79"/>
      <c r="I44" s="79" t="s">
        <v>161</v>
      </c>
      <c r="J44" s="79" t="s">
        <v>187</v>
      </c>
      <c r="K44" s="92" t="s">
        <v>188</v>
      </c>
    </row>
    <row r="45" spans="1:12" x14ac:dyDescent="0.25">
      <c r="A45" s="83">
        <v>42398</v>
      </c>
      <c r="B45" s="76"/>
      <c r="C45" s="76"/>
      <c r="D45" s="124"/>
      <c r="E45" s="87" t="s">
        <v>189</v>
      </c>
      <c r="F45" s="102">
        <v>741.46</v>
      </c>
      <c r="G45" s="47">
        <f t="shared" si="0"/>
        <v>27275.599999999999</v>
      </c>
      <c r="H45" s="79">
        <v>79606</v>
      </c>
      <c r="I45" s="79" t="s">
        <v>116</v>
      </c>
      <c r="J45" s="79" t="s">
        <v>158</v>
      </c>
      <c r="K45" s="92" t="s">
        <v>191</v>
      </c>
    </row>
    <row r="46" spans="1:12" x14ac:dyDescent="0.25">
      <c r="A46" s="83">
        <v>42402</v>
      </c>
      <c r="B46" s="76"/>
      <c r="C46" s="76"/>
      <c r="D46" s="124"/>
      <c r="E46" s="87" t="s">
        <v>190</v>
      </c>
      <c r="F46" s="102">
        <v>47.2</v>
      </c>
      <c r="G46" s="47">
        <f t="shared" si="0"/>
        <v>27228.399999999998</v>
      </c>
      <c r="H46" s="79">
        <v>79659</v>
      </c>
      <c r="I46" s="79" t="s">
        <v>116</v>
      </c>
      <c r="J46" s="79" t="s">
        <v>158</v>
      </c>
      <c r="K46" s="92" t="s">
        <v>192</v>
      </c>
    </row>
    <row r="47" spans="1:12" x14ac:dyDescent="0.25">
      <c r="A47" s="83">
        <v>42396</v>
      </c>
      <c r="B47" s="76"/>
      <c r="C47" s="76"/>
      <c r="D47" s="124"/>
      <c r="E47" s="87" t="s">
        <v>193</v>
      </c>
      <c r="F47" s="102">
        <v>194</v>
      </c>
      <c r="G47" s="47">
        <f t="shared" si="0"/>
        <v>27034.399999999998</v>
      </c>
      <c r="H47" s="79">
        <v>160930</v>
      </c>
      <c r="I47" s="79" t="s">
        <v>178</v>
      </c>
      <c r="J47" s="79" t="s">
        <v>194</v>
      </c>
      <c r="K47" s="92" t="s">
        <v>196</v>
      </c>
    </row>
    <row r="48" spans="1:12" x14ac:dyDescent="0.25">
      <c r="A48" s="83">
        <v>42396</v>
      </c>
      <c r="B48" s="76"/>
      <c r="C48" s="76"/>
      <c r="D48" s="124"/>
      <c r="E48" s="87" t="s">
        <v>197</v>
      </c>
      <c r="F48" s="102">
        <v>16.05</v>
      </c>
      <c r="G48" s="47">
        <f t="shared" si="0"/>
        <v>27018.35</v>
      </c>
      <c r="H48" s="79"/>
      <c r="I48" s="79" t="s">
        <v>198</v>
      </c>
      <c r="J48" s="79" t="s">
        <v>199</v>
      </c>
      <c r="K48" s="92" t="s">
        <v>200</v>
      </c>
    </row>
    <row r="49" spans="1:12" x14ac:dyDescent="0.25">
      <c r="A49" s="83">
        <v>42722</v>
      </c>
      <c r="B49" s="76"/>
      <c r="C49" s="76"/>
      <c r="D49" s="124"/>
      <c r="E49" s="87"/>
      <c r="F49" s="102">
        <v>56</v>
      </c>
      <c r="G49" s="47">
        <f t="shared" si="0"/>
        <v>26962.35</v>
      </c>
      <c r="H49" s="79"/>
      <c r="I49" s="79" t="s">
        <v>91</v>
      </c>
      <c r="J49" s="79"/>
      <c r="K49" s="92" t="s">
        <v>202</v>
      </c>
    </row>
    <row r="50" spans="1:12" x14ac:dyDescent="0.25">
      <c r="A50" s="83">
        <v>42735</v>
      </c>
      <c r="B50" s="76"/>
      <c r="C50" s="76"/>
      <c r="D50" s="124"/>
      <c r="E50" s="87"/>
      <c r="F50" s="102">
        <v>22.83</v>
      </c>
      <c r="G50" s="47">
        <f t="shared" si="0"/>
        <v>26939.519999999997</v>
      </c>
      <c r="H50" s="79"/>
      <c r="I50" s="79" t="s">
        <v>91</v>
      </c>
      <c r="J50" s="79"/>
      <c r="K50" s="92" t="s">
        <v>203</v>
      </c>
    </row>
    <row r="51" spans="1:12" ht="13.8" thickBot="1" x14ac:dyDescent="0.3">
      <c r="A51" s="83">
        <v>42396</v>
      </c>
      <c r="B51" s="76">
        <v>325</v>
      </c>
      <c r="C51" s="76">
        <v>677</v>
      </c>
      <c r="D51" s="100">
        <f>+B51+C51</f>
        <v>1002</v>
      </c>
      <c r="E51" s="87"/>
      <c r="F51" s="76"/>
      <c r="G51" s="47">
        <f t="shared" si="0"/>
        <v>27941.519999999997</v>
      </c>
      <c r="H51" s="79"/>
      <c r="I51" s="79" t="s">
        <v>161</v>
      </c>
      <c r="J51" s="79"/>
      <c r="K51" s="92" t="s">
        <v>204</v>
      </c>
      <c r="L51" s="41">
        <v>28645.61</v>
      </c>
    </row>
    <row r="52" spans="1:12" ht="13.8" thickBot="1" x14ac:dyDescent="0.3">
      <c r="A52" s="108" t="s">
        <v>164</v>
      </c>
      <c r="B52" s="109">
        <f>SUM(B30:B51)</f>
        <v>4468.55</v>
      </c>
      <c r="C52" s="109">
        <f>SUM(C30:C51)</f>
        <v>6840</v>
      </c>
      <c r="D52" s="109">
        <f>+B52+C52</f>
        <v>11308.55</v>
      </c>
      <c r="E52" s="111"/>
      <c r="F52" s="109">
        <f>SUM(F30:F51)</f>
        <v>6412.82</v>
      </c>
      <c r="G52" s="109">
        <f>+G29+D52-F52</f>
        <v>27941.519999999997</v>
      </c>
      <c r="H52" s="112"/>
      <c r="I52" s="112"/>
      <c r="J52" s="112"/>
      <c r="K52" s="113"/>
    </row>
    <row r="53" spans="1:12" x14ac:dyDescent="0.25">
      <c r="A53" s="91">
        <v>42403</v>
      </c>
      <c r="B53" s="80"/>
      <c r="C53" s="80"/>
      <c r="D53" s="80"/>
      <c r="E53" s="89" t="s">
        <v>206</v>
      </c>
      <c r="F53" s="101">
        <v>55</v>
      </c>
      <c r="G53" s="80">
        <f>+G52+D53-F53</f>
        <v>27886.519999999997</v>
      </c>
      <c r="H53" s="81"/>
      <c r="I53" s="81" t="s">
        <v>207</v>
      </c>
      <c r="J53" s="81" t="s">
        <v>208</v>
      </c>
      <c r="K53" s="93" t="s">
        <v>209</v>
      </c>
    </row>
    <row r="54" spans="1:12" x14ac:dyDescent="0.25">
      <c r="A54" s="91">
        <v>42403</v>
      </c>
      <c r="B54" s="80"/>
      <c r="C54" s="80"/>
      <c r="D54" s="80"/>
      <c r="E54" s="89" t="s">
        <v>210</v>
      </c>
      <c r="F54" s="101">
        <v>299.45</v>
      </c>
      <c r="G54" s="80">
        <f t="shared" ref="G54:G104" si="2">+G53+D54-F54</f>
        <v>27587.069999999996</v>
      </c>
      <c r="H54" s="81" t="s">
        <v>211</v>
      </c>
      <c r="I54" s="81" t="s">
        <v>212</v>
      </c>
      <c r="J54" s="81" t="s">
        <v>213</v>
      </c>
      <c r="K54" s="93" t="s">
        <v>214</v>
      </c>
    </row>
    <row r="55" spans="1:12" x14ac:dyDescent="0.25">
      <c r="A55" s="91">
        <v>42410</v>
      </c>
      <c r="B55" s="80"/>
      <c r="C55" s="80"/>
      <c r="D55" s="80"/>
      <c r="E55" s="89" t="s">
        <v>215</v>
      </c>
      <c r="F55" s="101">
        <v>495.81</v>
      </c>
      <c r="G55" s="80">
        <f t="shared" si="2"/>
        <v>27091.259999999995</v>
      </c>
      <c r="H55" s="81">
        <v>172930</v>
      </c>
      <c r="I55" s="81" t="s">
        <v>116</v>
      </c>
      <c r="J55" s="81" t="s">
        <v>136</v>
      </c>
      <c r="K55" s="93" t="s">
        <v>191</v>
      </c>
    </row>
    <row r="56" spans="1:12" x14ac:dyDescent="0.25">
      <c r="A56" s="91">
        <v>42410</v>
      </c>
      <c r="B56" s="80"/>
      <c r="C56" s="80"/>
      <c r="D56" s="80"/>
      <c r="E56" s="89" t="s">
        <v>216</v>
      </c>
      <c r="F56" s="80">
        <v>35</v>
      </c>
      <c r="G56" s="80">
        <f t="shared" si="2"/>
        <v>27056.259999999995</v>
      </c>
      <c r="H56" s="81"/>
      <c r="I56" s="81" t="s">
        <v>161</v>
      </c>
      <c r="J56" s="81" t="s">
        <v>217</v>
      </c>
      <c r="K56" s="93" t="s">
        <v>218</v>
      </c>
    </row>
    <row r="57" spans="1:12" x14ac:dyDescent="0.25">
      <c r="A57" s="91">
        <v>42410</v>
      </c>
      <c r="B57" s="80"/>
      <c r="C57" s="80"/>
      <c r="D57" s="80"/>
      <c r="E57" s="89" t="s">
        <v>219</v>
      </c>
      <c r="F57" s="80">
        <v>75</v>
      </c>
      <c r="G57" s="80">
        <f t="shared" si="2"/>
        <v>26981.259999999995</v>
      </c>
      <c r="H57" s="81"/>
      <c r="I57" s="81" t="s">
        <v>220</v>
      </c>
      <c r="J57" s="81" t="s">
        <v>221</v>
      </c>
      <c r="K57" s="93" t="s">
        <v>222</v>
      </c>
    </row>
    <row r="58" spans="1:12" x14ac:dyDescent="0.25">
      <c r="A58" s="91">
        <v>42410</v>
      </c>
      <c r="B58" s="80"/>
      <c r="C58" s="80"/>
      <c r="D58" s="80"/>
      <c r="E58" s="89" t="s">
        <v>223</v>
      </c>
      <c r="F58" s="101">
        <v>582</v>
      </c>
      <c r="G58" s="80">
        <f t="shared" si="2"/>
        <v>26399.259999999995</v>
      </c>
      <c r="H58" s="126"/>
      <c r="I58" s="81" t="s">
        <v>178</v>
      </c>
      <c r="J58" s="81" t="s">
        <v>225</v>
      </c>
      <c r="K58" s="93" t="s">
        <v>224</v>
      </c>
    </row>
    <row r="59" spans="1:12" x14ac:dyDescent="0.25">
      <c r="A59" s="91">
        <v>42410</v>
      </c>
      <c r="B59" s="80">
        <v>350</v>
      </c>
      <c r="C59" s="80">
        <v>155</v>
      </c>
      <c r="D59" s="100">
        <f>+B59+C59</f>
        <v>505</v>
      </c>
      <c r="E59" s="89"/>
      <c r="F59" s="80"/>
      <c r="G59" s="80">
        <f t="shared" si="2"/>
        <v>26904.259999999995</v>
      </c>
      <c r="H59" s="81"/>
      <c r="I59" s="81" t="s">
        <v>220</v>
      </c>
      <c r="J59" s="81"/>
      <c r="K59" s="93" t="s">
        <v>254</v>
      </c>
      <c r="L59" s="41">
        <v>31063.51</v>
      </c>
    </row>
    <row r="60" spans="1:12" x14ac:dyDescent="0.25">
      <c r="A60" s="91">
        <v>42417</v>
      </c>
      <c r="B60" s="80"/>
      <c r="C60" s="80"/>
      <c r="D60" s="80"/>
      <c r="E60" s="89" t="s">
        <v>227</v>
      </c>
      <c r="F60" s="80">
        <v>1686.5</v>
      </c>
      <c r="G60" s="80">
        <f t="shared" si="2"/>
        <v>25217.759999999995</v>
      </c>
      <c r="H60" s="81"/>
      <c r="I60" s="81" t="s">
        <v>220</v>
      </c>
      <c r="J60" s="81" t="s">
        <v>228</v>
      </c>
      <c r="K60" s="93" t="s">
        <v>229</v>
      </c>
    </row>
    <row r="61" spans="1:12" x14ac:dyDescent="0.25">
      <c r="A61" s="91">
        <v>42424</v>
      </c>
      <c r="B61" s="80"/>
      <c r="C61" s="80"/>
      <c r="D61" s="80"/>
      <c r="E61" s="89" t="s">
        <v>230</v>
      </c>
      <c r="F61" s="80">
        <v>1820</v>
      </c>
      <c r="G61" s="80">
        <f t="shared" si="2"/>
        <v>23397.759999999995</v>
      </c>
      <c r="H61" s="81"/>
      <c r="I61" s="81" t="s">
        <v>161</v>
      </c>
      <c r="J61" s="81" t="s">
        <v>231</v>
      </c>
      <c r="K61" s="93" t="s">
        <v>232</v>
      </c>
    </row>
    <row r="62" spans="1:12" x14ac:dyDescent="0.25">
      <c r="A62" s="91">
        <v>42424</v>
      </c>
      <c r="B62" s="80"/>
      <c r="C62" s="80"/>
      <c r="D62" s="80"/>
      <c r="E62" s="89" t="s">
        <v>233</v>
      </c>
      <c r="F62" s="101">
        <v>2652.68</v>
      </c>
      <c r="G62" s="80">
        <f t="shared" si="2"/>
        <v>20745.079999999994</v>
      </c>
      <c r="H62" s="81"/>
      <c r="I62" s="81" t="s">
        <v>161</v>
      </c>
      <c r="J62" s="81" t="s">
        <v>129</v>
      </c>
      <c r="K62" s="93" t="s">
        <v>234</v>
      </c>
    </row>
    <row r="63" spans="1:12" x14ac:dyDescent="0.25">
      <c r="A63" s="91">
        <v>42424</v>
      </c>
      <c r="B63" s="80"/>
      <c r="C63" s="80"/>
      <c r="D63" s="80"/>
      <c r="E63" s="89" t="s">
        <v>235</v>
      </c>
      <c r="F63" s="101">
        <v>90</v>
      </c>
      <c r="G63" s="80">
        <f t="shared" si="2"/>
        <v>20655.079999999994</v>
      </c>
      <c r="H63" s="81"/>
      <c r="I63" s="81" t="s">
        <v>161</v>
      </c>
      <c r="J63" s="81" t="s">
        <v>236</v>
      </c>
      <c r="K63" s="93" t="s">
        <v>237</v>
      </c>
    </row>
    <row r="64" spans="1:12" x14ac:dyDescent="0.25">
      <c r="A64" s="91">
        <v>42424</v>
      </c>
      <c r="B64" s="80"/>
      <c r="C64" s="80"/>
      <c r="D64" s="80"/>
      <c r="E64" s="89" t="s">
        <v>238</v>
      </c>
      <c r="F64" s="101">
        <v>50</v>
      </c>
      <c r="G64" s="80">
        <f t="shared" si="2"/>
        <v>20605.079999999994</v>
      </c>
      <c r="H64" s="81"/>
      <c r="I64" s="81" t="s">
        <v>161</v>
      </c>
      <c r="J64" s="81" t="s">
        <v>239</v>
      </c>
      <c r="K64" s="93" t="s">
        <v>188</v>
      </c>
    </row>
    <row r="65" spans="1:12" x14ac:dyDescent="0.25">
      <c r="A65" s="91">
        <v>42424</v>
      </c>
      <c r="B65" s="80"/>
      <c r="C65" s="80"/>
      <c r="D65" s="80"/>
      <c r="E65" s="89" t="s">
        <v>242</v>
      </c>
      <c r="F65" s="80">
        <v>270</v>
      </c>
      <c r="G65" s="80">
        <f t="shared" si="2"/>
        <v>20335.079999999994</v>
      </c>
      <c r="H65" s="81">
        <v>29</v>
      </c>
      <c r="I65" s="81" t="s">
        <v>220</v>
      </c>
      <c r="J65" s="81" t="s">
        <v>241</v>
      </c>
      <c r="K65" s="93" t="s">
        <v>240</v>
      </c>
    </row>
    <row r="66" spans="1:12" x14ac:dyDescent="0.25">
      <c r="A66" s="91">
        <v>42424</v>
      </c>
      <c r="B66" s="80"/>
      <c r="C66" s="80"/>
      <c r="D66" s="80"/>
      <c r="E66" s="89" t="s">
        <v>243</v>
      </c>
      <c r="F66" s="80">
        <v>250</v>
      </c>
      <c r="G66" s="80">
        <f t="shared" si="2"/>
        <v>20085.079999999994</v>
      </c>
      <c r="H66" s="81">
        <v>2016227</v>
      </c>
      <c r="I66" s="81" t="s">
        <v>220</v>
      </c>
      <c r="J66" s="81" t="s">
        <v>244</v>
      </c>
      <c r="K66" s="93" t="s">
        <v>245</v>
      </c>
    </row>
    <row r="67" spans="1:12" x14ac:dyDescent="0.25">
      <c r="A67" s="91">
        <v>42424</v>
      </c>
      <c r="B67" s="80"/>
      <c r="C67" s="80"/>
      <c r="D67" s="80"/>
      <c r="E67" s="89" t="s">
        <v>246</v>
      </c>
      <c r="F67" s="101">
        <v>195.92</v>
      </c>
      <c r="G67" s="80">
        <f t="shared" si="2"/>
        <v>19889.159999999996</v>
      </c>
      <c r="H67" s="81">
        <v>31087883</v>
      </c>
      <c r="I67" s="81" t="s">
        <v>220</v>
      </c>
      <c r="J67" s="81" t="s">
        <v>247</v>
      </c>
      <c r="K67" s="93" t="s">
        <v>248</v>
      </c>
    </row>
    <row r="68" spans="1:12" x14ac:dyDescent="0.25">
      <c r="A68" s="91">
        <v>42424</v>
      </c>
      <c r="B68" s="80"/>
      <c r="C68" s="80"/>
      <c r="D68" s="80"/>
      <c r="E68" s="89" t="s">
        <v>250</v>
      </c>
      <c r="F68" s="101">
        <v>706.2</v>
      </c>
      <c r="G68" s="80">
        <f t="shared" si="2"/>
        <v>19182.959999999995</v>
      </c>
      <c r="H68" s="81">
        <v>28958</v>
      </c>
      <c r="I68" s="81" t="s">
        <v>116</v>
      </c>
      <c r="J68" s="81" t="s">
        <v>158</v>
      </c>
      <c r="K68" s="93" t="s">
        <v>249</v>
      </c>
    </row>
    <row r="69" spans="1:12" x14ac:dyDescent="0.25">
      <c r="A69" s="91">
        <v>42424</v>
      </c>
      <c r="B69" s="80"/>
      <c r="C69" s="80"/>
      <c r="D69" s="80"/>
      <c r="E69" s="89" t="s">
        <v>251</v>
      </c>
      <c r="F69" s="101">
        <v>1000</v>
      </c>
      <c r="G69" s="80">
        <f t="shared" si="2"/>
        <v>18182.959999999995</v>
      </c>
      <c r="H69" s="81"/>
      <c r="I69" s="81" t="s">
        <v>220</v>
      </c>
      <c r="J69" s="81" t="s">
        <v>236</v>
      </c>
      <c r="K69" s="93" t="s">
        <v>252</v>
      </c>
    </row>
    <row r="70" spans="1:12" x14ac:dyDescent="0.25">
      <c r="A70" s="91">
        <v>42424</v>
      </c>
      <c r="B70" s="80"/>
      <c r="C70" s="80">
        <v>4075.25</v>
      </c>
      <c r="D70" s="100">
        <f t="shared" ref="D70:D77" si="3">+B70+C70</f>
        <v>4075.25</v>
      </c>
      <c r="E70" s="89"/>
      <c r="F70" s="80"/>
      <c r="G70" s="80">
        <f t="shared" si="2"/>
        <v>22258.209999999995</v>
      </c>
      <c r="H70" s="81"/>
      <c r="I70" s="81" t="s">
        <v>116</v>
      </c>
      <c r="J70" s="81"/>
      <c r="K70" s="93" t="s">
        <v>253</v>
      </c>
    </row>
    <row r="71" spans="1:12" x14ac:dyDescent="0.25">
      <c r="A71" s="91">
        <v>42424</v>
      </c>
      <c r="B71" s="80">
        <v>2585</v>
      </c>
      <c r="C71" s="80">
        <v>1487.5</v>
      </c>
      <c r="D71" s="100">
        <f t="shared" si="3"/>
        <v>4072.5</v>
      </c>
      <c r="E71" s="89"/>
      <c r="F71" s="80"/>
      <c r="G71" s="80">
        <f t="shared" si="2"/>
        <v>26330.709999999995</v>
      </c>
      <c r="H71" s="81"/>
      <c r="I71" s="81" t="s">
        <v>116</v>
      </c>
      <c r="J71" s="81"/>
      <c r="K71" s="93" t="s">
        <v>253</v>
      </c>
    </row>
    <row r="72" spans="1:12" x14ac:dyDescent="0.25">
      <c r="A72" s="91">
        <v>42424</v>
      </c>
      <c r="B72" s="80">
        <v>286.25</v>
      </c>
      <c r="C72" s="80"/>
      <c r="D72" s="100">
        <f t="shared" si="3"/>
        <v>286.25</v>
      </c>
      <c r="E72" s="89"/>
      <c r="F72" s="80"/>
      <c r="G72" s="80">
        <f t="shared" si="2"/>
        <v>26616.959999999995</v>
      </c>
      <c r="H72" s="81"/>
      <c r="I72" s="81" t="s">
        <v>116</v>
      </c>
      <c r="J72" s="81"/>
      <c r="K72" s="93" t="s">
        <v>253</v>
      </c>
    </row>
    <row r="73" spans="1:12" x14ac:dyDescent="0.25">
      <c r="A73" s="91">
        <v>42424</v>
      </c>
      <c r="B73" s="80">
        <v>435</v>
      </c>
      <c r="C73" s="80">
        <v>815</v>
      </c>
      <c r="D73" s="100">
        <f t="shared" si="3"/>
        <v>1250</v>
      </c>
      <c r="E73" s="89"/>
      <c r="F73" s="80"/>
      <c r="G73" s="80">
        <f t="shared" si="2"/>
        <v>27866.959999999995</v>
      </c>
      <c r="H73" s="81"/>
      <c r="I73" s="81" t="s">
        <v>220</v>
      </c>
      <c r="J73" s="81"/>
      <c r="K73" s="93" t="s">
        <v>254</v>
      </c>
    </row>
    <row r="74" spans="1:12" x14ac:dyDescent="0.25">
      <c r="A74" s="91">
        <v>42424</v>
      </c>
      <c r="B74" s="80"/>
      <c r="C74" s="80">
        <v>52.96</v>
      </c>
      <c r="D74" s="100">
        <f t="shared" si="3"/>
        <v>52.96</v>
      </c>
      <c r="E74" s="89"/>
      <c r="F74" s="80"/>
      <c r="G74" s="80">
        <f t="shared" si="2"/>
        <v>27919.919999999995</v>
      </c>
      <c r="H74" s="81"/>
      <c r="I74" s="81" t="s">
        <v>255</v>
      </c>
      <c r="J74" s="81"/>
      <c r="K74" s="93" t="s">
        <v>256</v>
      </c>
    </row>
    <row r="75" spans="1:12" x14ac:dyDescent="0.25">
      <c r="A75" s="91">
        <v>42424</v>
      </c>
      <c r="B75" s="80"/>
      <c r="C75" s="80">
        <v>380.78</v>
      </c>
      <c r="D75" s="100">
        <f t="shared" si="3"/>
        <v>380.78</v>
      </c>
      <c r="E75" s="89"/>
      <c r="F75" s="80"/>
      <c r="G75" s="80">
        <f t="shared" si="2"/>
        <v>28300.699999999993</v>
      </c>
      <c r="H75" s="81"/>
      <c r="I75" s="81" t="s">
        <v>257</v>
      </c>
      <c r="J75" s="81"/>
      <c r="K75" s="93" t="s">
        <v>256</v>
      </c>
      <c r="L75" s="41">
        <v>64136.01</v>
      </c>
    </row>
    <row r="76" spans="1:12" x14ac:dyDescent="0.25">
      <c r="A76" s="91">
        <v>42374</v>
      </c>
      <c r="B76" s="80">
        <v>22.83</v>
      </c>
      <c r="C76" s="80"/>
      <c r="D76" s="100">
        <f t="shared" si="3"/>
        <v>22.83</v>
      </c>
      <c r="E76" s="89"/>
      <c r="F76" s="80"/>
      <c r="G76" s="80">
        <f t="shared" si="2"/>
        <v>28323.529999999995</v>
      </c>
      <c r="H76" s="81"/>
      <c r="I76" s="81" t="s">
        <v>91</v>
      </c>
      <c r="J76" s="81"/>
      <c r="K76" s="93" t="s">
        <v>260</v>
      </c>
    </row>
    <row r="77" spans="1:12" x14ac:dyDescent="0.25">
      <c r="A77" s="91">
        <v>42374</v>
      </c>
      <c r="B77" s="80">
        <v>12.5</v>
      </c>
      <c r="C77" s="80"/>
      <c r="D77" s="100">
        <f t="shared" si="3"/>
        <v>12.5</v>
      </c>
      <c r="E77" s="89"/>
      <c r="F77" s="80"/>
      <c r="G77" s="80">
        <f t="shared" si="2"/>
        <v>28336.029999999995</v>
      </c>
      <c r="H77" s="81"/>
      <c r="I77" s="81" t="s">
        <v>91</v>
      </c>
      <c r="J77" s="81"/>
      <c r="K77" s="93" t="s">
        <v>260</v>
      </c>
    </row>
    <row r="78" spans="1:12" x14ac:dyDescent="0.25">
      <c r="A78" s="91">
        <v>42375</v>
      </c>
      <c r="B78" s="80"/>
      <c r="C78" s="80"/>
      <c r="D78" s="135"/>
      <c r="E78" s="89"/>
      <c r="F78" s="101">
        <v>12.5</v>
      </c>
      <c r="G78" s="80">
        <f t="shared" si="2"/>
        <v>28323.529999999995</v>
      </c>
      <c r="H78" s="81"/>
      <c r="I78" s="81" t="s">
        <v>91</v>
      </c>
      <c r="J78" s="81"/>
      <c r="K78" s="93" t="s">
        <v>203</v>
      </c>
    </row>
    <row r="79" spans="1:12" x14ac:dyDescent="0.25">
      <c r="A79" s="91">
        <v>42398</v>
      </c>
      <c r="B79" s="80"/>
      <c r="C79" s="80"/>
      <c r="D79" s="135"/>
      <c r="E79" s="89"/>
      <c r="F79" s="101">
        <v>29.58</v>
      </c>
      <c r="G79" s="80">
        <f t="shared" si="2"/>
        <v>28293.949999999993</v>
      </c>
      <c r="H79" s="81"/>
      <c r="I79" s="81" t="s">
        <v>91</v>
      </c>
      <c r="J79" s="81"/>
      <c r="K79" s="93" t="s">
        <v>203</v>
      </c>
    </row>
    <row r="80" spans="1:12" x14ac:dyDescent="0.25">
      <c r="A80" s="91">
        <v>42430</v>
      </c>
      <c r="B80" s="80"/>
      <c r="C80" s="80"/>
      <c r="D80" s="135"/>
      <c r="E80" s="89" t="s">
        <v>261</v>
      </c>
      <c r="F80" s="80">
        <v>507.49</v>
      </c>
      <c r="G80" s="80">
        <f t="shared" si="2"/>
        <v>27786.459999999992</v>
      </c>
      <c r="H80" s="81">
        <v>173712</v>
      </c>
      <c r="I80" s="81" t="s">
        <v>116</v>
      </c>
      <c r="J80" s="81" t="s">
        <v>136</v>
      </c>
      <c r="K80" s="93" t="s">
        <v>249</v>
      </c>
    </row>
    <row r="81" spans="1:12" x14ac:dyDescent="0.25">
      <c r="A81" s="91">
        <v>42430</v>
      </c>
      <c r="B81" s="80">
        <v>27.5</v>
      </c>
      <c r="C81" s="80">
        <v>22</v>
      </c>
      <c r="D81" s="114">
        <f t="shared" ref="D81:D88" si="4">+B81+C81</f>
        <v>49.5</v>
      </c>
      <c r="E81" s="89"/>
      <c r="F81" s="80"/>
      <c r="G81" s="80">
        <f t="shared" si="2"/>
        <v>27835.959999999992</v>
      </c>
      <c r="H81" s="81"/>
      <c r="I81" s="81" t="s">
        <v>116</v>
      </c>
      <c r="J81" s="81"/>
      <c r="K81" s="93" t="s">
        <v>253</v>
      </c>
    </row>
    <row r="82" spans="1:12" x14ac:dyDescent="0.25">
      <c r="A82" s="91">
        <v>42430</v>
      </c>
      <c r="B82" s="80">
        <v>5.5</v>
      </c>
      <c r="C82" s="80"/>
      <c r="D82" s="100">
        <f t="shared" si="4"/>
        <v>5.5</v>
      </c>
      <c r="E82" s="89"/>
      <c r="F82" s="101">
        <v>5.5</v>
      </c>
      <c r="G82" s="80">
        <f t="shared" si="2"/>
        <v>27835.959999999992</v>
      </c>
      <c r="H82" s="81"/>
      <c r="I82" s="81" t="s">
        <v>116</v>
      </c>
      <c r="J82" s="81"/>
      <c r="K82" s="93" t="s">
        <v>262</v>
      </c>
    </row>
    <row r="83" spans="1:12" x14ac:dyDescent="0.25">
      <c r="A83" s="91">
        <v>42430</v>
      </c>
      <c r="B83" s="80">
        <v>950</v>
      </c>
      <c r="C83" s="80"/>
      <c r="D83" s="114">
        <f t="shared" si="4"/>
        <v>950</v>
      </c>
      <c r="E83" s="89"/>
      <c r="F83" s="80"/>
      <c r="G83" s="80">
        <f t="shared" si="2"/>
        <v>28785.959999999992</v>
      </c>
      <c r="H83" s="81"/>
      <c r="I83" s="81" t="s">
        <v>220</v>
      </c>
      <c r="J83" s="81"/>
      <c r="K83" s="93" t="s">
        <v>265</v>
      </c>
    </row>
    <row r="84" spans="1:12" x14ac:dyDescent="0.25">
      <c r="A84" s="91">
        <v>42430</v>
      </c>
      <c r="B84" s="80">
        <v>2307.1</v>
      </c>
      <c r="C84" s="80">
        <v>485</v>
      </c>
      <c r="D84" s="114">
        <f t="shared" si="4"/>
        <v>2792.1</v>
      </c>
      <c r="E84" s="89"/>
      <c r="F84" s="80"/>
      <c r="G84" s="80">
        <f t="shared" si="2"/>
        <v>31578.05999999999</v>
      </c>
      <c r="H84" s="81"/>
      <c r="I84" s="81" t="s">
        <v>21</v>
      </c>
      <c r="J84" s="81"/>
      <c r="K84" s="93" t="s">
        <v>266</v>
      </c>
    </row>
    <row r="85" spans="1:12" x14ac:dyDescent="0.25">
      <c r="A85" s="91">
        <v>42430</v>
      </c>
      <c r="B85" s="80">
        <v>685</v>
      </c>
      <c r="C85" s="80">
        <v>935</v>
      </c>
      <c r="D85" s="114">
        <f t="shared" si="4"/>
        <v>1620</v>
      </c>
      <c r="E85" s="89"/>
      <c r="F85" s="80"/>
      <c r="G85" s="80">
        <f t="shared" si="2"/>
        <v>33198.05999999999</v>
      </c>
      <c r="H85" s="81"/>
      <c r="I85" s="81" t="s">
        <v>220</v>
      </c>
      <c r="J85" s="81"/>
      <c r="K85" s="93" t="s">
        <v>268</v>
      </c>
    </row>
    <row r="86" spans="1:12" x14ac:dyDescent="0.25">
      <c r="A86" s="91">
        <v>42430</v>
      </c>
      <c r="B86" s="80">
        <v>251</v>
      </c>
      <c r="C86" s="80"/>
      <c r="D86" s="114">
        <f t="shared" si="4"/>
        <v>251</v>
      </c>
      <c r="E86" s="89"/>
      <c r="F86" s="80"/>
      <c r="G86" s="80">
        <f t="shared" si="2"/>
        <v>33449.05999999999</v>
      </c>
      <c r="H86" s="81"/>
      <c r="I86" s="81" t="s">
        <v>220</v>
      </c>
      <c r="J86" s="81"/>
      <c r="K86" s="93" t="s">
        <v>263</v>
      </c>
    </row>
    <row r="87" spans="1:12" x14ac:dyDescent="0.25">
      <c r="A87" s="91">
        <v>42430</v>
      </c>
      <c r="B87" s="80">
        <v>1679</v>
      </c>
      <c r="C87" s="80">
        <v>1735</v>
      </c>
      <c r="D87" s="114">
        <f t="shared" si="4"/>
        <v>3414</v>
      </c>
      <c r="E87" s="89"/>
      <c r="F87" s="80"/>
      <c r="G87" s="80">
        <f t="shared" si="2"/>
        <v>36863.05999999999</v>
      </c>
      <c r="H87" s="81"/>
      <c r="I87" s="81" t="s">
        <v>220</v>
      </c>
      <c r="J87" s="81"/>
      <c r="K87" s="93" t="s">
        <v>264</v>
      </c>
    </row>
    <row r="88" spans="1:12" x14ac:dyDescent="0.25">
      <c r="A88" s="91">
        <v>42430</v>
      </c>
      <c r="B88" s="80">
        <v>2201</v>
      </c>
      <c r="C88" s="80"/>
      <c r="D88" s="114">
        <f t="shared" si="4"/>
        <v>2201</v>
      </c>
      <c r="E88" s="89"/>
      <c r="F88" s="80"/>
      <c r="G88" s="80">
        <f t="shared" si="2"/>
        <v>39064.05999999999</v>
      </c>
      <c r="H88" s="81"/>
      <c r="I88" s="81" t="s">
        <v>220</v>
      </c>
      <c r="J88" s="81"/>
      <c r="K88" s="93" t="s">
        <v>267</v>
      </c>
      <c r="L88" s="41">
        <v>70718.81</v>
      </c>
    </row>
    <row r="89" spans="1:12" x14ac:dyDescent="0.25">
      <c r="A89" s="91">
        <v>42438</v>
      </c>
      <c r="B89" s="80"/>
      <c r="C89" s="80"/>
      <c r="D89" s="114"/>
      <c r="E89" s="89" t="s">
        <v>269</v>
      </c>
      <c r="F89" s="80">
        <v>67.650000000000006</v>
      </c>
      <c r="G89" s="80">
        <f t="shared" si="2"/>
        <v>38996.409999999989</v>
      </c>
      <c r="H89" s="81"/>
      <c r="I89" s="81" t="s">
        <v>21</v>
      </c>
      <c r="J89" s="81"/>
      <c r="K89" s="93" t="s">
        <v>282</v>
      </c>
    </row>
    <row r="90" spans="1:12" x14ac:dyDescent="0.25">
      <c r="A90" s="91">
        <v>42438</v>
      </c>
      <c r="B90" s="80"/>
      <c r="C90" s="80"/>
      <c r="D90" s="114"/>
      <c r="E90" s="89"/>
      <c r="F90" s="80">
        <v>33.5</v>
      </c>
      <c r="G90" s="80">
        <f t="shared" si="2"/>
        <v>38962.909999999989</v>
      </c>
      <c r="H90" s="81"/>
      <c r="I90" s="81" t="s">
        <v>116</v>
      </c>
      <c r="J90" s="81"/>
      <c r="K90" s="93" t="s">
        <v>270</v>
      </c>
    </row>
    <row r="91" spans="1:12" x14ac:dyDescent="0.25">
      <c r="A91" s="91">
        <v>42438</v>
      </c>
      <c r="B91" s="80">
        <v>104.5</v>
      </c>
      <c r="C91" s="80"/>
      <c r="D91" s="135">
        <f>SUM(B91:C91)</f>
        <v>104.5</v>
      </c>
      <c r="E91" s="89"/>
      <c r="F91" s="80"/>
      <c r="G91" s="80">
        <f t="shared" si="2"/>
        <v>39067.409999999989</v>
      </c>
      <c r="H91" s="81"/>
      <c r="I91" s="81" t="s">
        <v>116</v>
      </c>
      <c r="J91" s="81"/>
      <c r="K91" s="93" t="s">
        <v>271</v>
      </c>
    </row>
    <row r="92" spans="1:12" x14ac:dyDescent="0.25">
      <c r="A92" s="91">
        <v>42438</v>
      </c>
      <c r="B92" s="80">
        <v>10</v>
      </c>
      <c r="C92" s="80">
        <v>305</v>
      </c>
      <c r="D92" s="135">
        <f t="shared" ref="D92:D97" si="5">SUM(B92:C92)</f>
        <v>315</v>
      </c>
      <c r="E92" s="89"/>
      <c r="F92" s="80"/>
      <c r="G92" s="80">
        <f t="shared" si="2"/>
        <v>39382.409999999989</v>
      </c>
      <c r="H92" s="81"/>
      <c r="I92" s="81" t="s">
        <v>220</v>
      </c>
      <c r="J92" s="81"/>
      <c r="K92" s="93" t="s">
        <v>272</v>
      </c>
      <c r="L92" s="41">
        <v>25175.68</v>
      </c>
    </row>
    <row r="93" spans="1:12" x14ac:dyDescent="0.25">
      <c r="A93" s="91">
        <v>42438</v>
      </c>
      <c r="B93" s="80">
        <v>20</v>
      </c>
      <c r="C93" s="80"/>
      <c r="D93" s="135">
        <f t="shared" si="5"/>
        <v>20</v>
      </c>
      <c r="E93" s="89"/>
      <c r="F93" s="80"/>
      <c r="G93" s="80">
        <f t="shared" si="2"/>
        <v>39402.409999999989</v>
      </c>
      <c r="H93" s="81"/>
      <c r="I93" s="81" t="s">
        <v>21</v>
      </c>
      <c r="J93" s="81"/>
      <c r="K93" s="93" t="s">
        <v>272</v>
      </c>
    </row>
    <row r="94" spans="1:12" x14ac:dyDescent="0.25">
      <c r="A94" s="91">
        <v>42438</v>
      </c>
      <c r="B94" s="80"/>
      <c r="C94" s="80"/>
      <c r="D94" s="135">
        <f t="shared" si="5"/>
        <v>0</v>
      </c>
      <c r="E94" s="89" t="s">
        <v>273</v>
      </c>
      <c r="F94" s="80">
        <v>63.56</v>
      </c>
      <c r="G94" s="80">
        <f t="shared" si="2"/>
        <v>39338.849999999991</v>
      </c>
      <c r="H94" s="81"/>
      <c r="I94" s="81" t="s">
        <v>172</v>
      </c>
      <c r="J94" s="81"/>
      <c r="K94" s="93" t="s">
        <v>176</v>
      </c>
    </row>
    <row r="95" spans="1:12" x14ac:dyDescent="0.25">
      <c r="A95" s="91">
        <v>42438</v>
      </c>
      <c r="B95" s="80"/>
      <c r="C95" s="80"/>
      <c r="D95" s="135">
        <f t="shared" si="5"/>
        <v>0</v>
      </c>
      <c r="E95" s="89" t="s">
        <v>274</v>
      </c>
      <c r="F95" s="80">
        <v>194</v>
      </c>
      <c r="G95" s="80">
        <f t="shared" si="2"/>
        <v>39144.849999999991</v>
      </c>
      <c r="H95" s="81">
        <v>164231</v>
      </c>
      <c r="I95" s="81" t="s">
        <v>178</v>
      </c>
      <c r="J95" s="81"/>
      <c r="K95" s="93" t="s">
        <v>176</v>
      </c>
    </row>
    <row r="96" spans="1:12" x14ac:dyDescent="0.25">
      <c r="A96" s="91">
        <v>42402</v>
      </c>
      <c r="B96" s="80">
        <v>29.58</v>
      </c>
      <c r="C96" s="80"/>
      <c r="D96" s="101">
        <f t="shared" si="5"/>
        <v>29.58</v>
      </c>
      <c r="E96" s="89"/>
      <c r="F96" s="80"/>
      <c r="G96" s="80">
        <f t="shared" si="2"/>
        <v>39174.429999999993</v>
      </c>
      <c r="H96" s="81"/>
      <c r="I96" s="81" t="s">
        <v>91</v>
      </c>
      <c r="J96" s="81"/>
      <c r="K96" s="93" t="s">
        <v>132</v>
      </c>
    </row>
    <row r="97" spans="1:17" x14ac:dyDescent="0.25">
      <c r="A97" s="73">
        <v>42412</v>
      </c>
      <c r="B97" s="47">
        <v>25175.68</v>
      </c>
      <c r="C97" s="47"/>
      <c r="D97" s="101">
        <f t="shared" si="5"/>
        <v>25175.68</v>
      </c>
      <c r="E97" s="86"/>
      <c r="F97" s="47"/>
      <c r="G97" s="80">
        <f t="shared" si="2"/>
        <v>64350.109999999993</v>
      </c>
      <c r="H97" s="42"/>
      <c r="I97" s="42" t="s">
        <v>91</v>
      </c>
      <c r="J97" s="42"/>
      <c r="K97" s="43" t="s">
        <v>275</v>
      </c>
    </row>
    <row r="98" spans="1:17" x14ac:dyDescent="0.25">
      <c r="A98" s="83">
        <v>42429</v>
      </c>
      <c r="B98" s="76"/>
      <c r="C98" s="76"/>
      <c r="D98" s="135"/>
      <c r="E98" s="87"/>
      <c r="F98" s="102">
        <v>79</v>
      </c>
      <c r="G98" s="80">
        <f t="shared" si="2"/>
        <v>64271.109999999993</v>
      </c>
      <c r="H98" s="79"/>
      <c r="I98" s="79" t="s">
        <v>91</v>
      </c>
      <c r="J98" s="79"/>
      <c r="K98" s="92" t="s">
        <v>276</v>
      </c>
    </row>
    <row r="99" spans="1:17" ht="12.75" customHeight="1" x14ac:dyDescent="0.25">
      <c r="A99" s="83">
        <v>42438</v>
      </c>
      <c r="B99" s="76"/>
      <c r="C99" s="76"/>
      <c r="D99" s="135"/>
      <c r="E99" s="87" t="s">
        <v>279</v>
      </c>
      <c r="F99" s="76">
        <v>946.68</v>
      </c>
      <c r="G99" s="80">
        <f t="shared" si="2"/>
        <v>63324.429999999993</v>
      </c>
      <c r="H99" s="79"/>
      <c r="I99" s="79" t="s">
        <v>220</v>
      </c>
      <c r="J99" s="79"/>
      <c r="K99" s="92" t="s">
        <v>280</v>
      </c>
      <c r="L99" s="41">
        <v>43742.33</v>
      </c>
    </row>
    <row r="100" spans="1:17" x14ac:dyDescent="0.25">
      <c r="A100" s="115">
        <v>42432</v>
      </c>
      <c r="B100" s="47"/>
      <c r="C100" s="47"/>
      <c r="D100" s="153"/>
      <c r="E100" s="86"/>
      <c r="F100" s="47">
        <v>25175.68</v>
      </c>
      <c r="G100" s="47">
        <f>+G99+D100-F100</f>
        <v>38148.749999999993</v>
      </c>
      <c r="H100" s="42"/>
      <c r="I100" s="42" t="s">
        <v>91</v>
      </c>
      <c r="J100" s="42"/>
      <c r="K100" s="42" t="s">
        <v>283</v>
      </c>
    </row>
    <row r="101" spans="1:17" x14ac:dyDescent="0.25">
      <c r="A101" s="115">
        <v>42445</v>
      </c>
      <c r="B101" s="47"/>
      <c r="C101" s="47">
        <v>635.14</v>
      </c>
      <c r="D101" s="114">
        <f t="shared" ref="D101:D102" si="6">+B101+C101</f>
        <v>635.14</v>
      </c>
      <c r="E101" s="86"/>
      <c r="F101" s="47"/>
      <c r="G101" s="47">
        <f t="shared" ref="G101:G102" si="7">+G100+D101-F101</f>
        <v>38783.889999999992</v>
      </c>
      <c r="H101" s="42"/>
      <c r="I101" s="42" t="s">
        <v>257</v>
      </c>
      <c r="J101" s="42"/>
      <c r="K101" s="42" t="s">
        <v>256</v>
      </c>
    </row>
    <row r="102" spans="1:17" ht="13.8" thickBot="1" x14ac:dyDescent="0.3">
      <c r="A102" s="154">
        <v>42450</v>
      </c>
      <c r="B102" s="76">
        <v>120</v>
      </c>
      <c r="C102" s="76">
        <v>1060</v>
      </c>
      <c r="D102" s="114">
        <f t="shared" si="6"/>
        <v>1180</v>
      </c>
      <c r="E102" s="87"/>
      <c r="F102" s="76"/>
      <c r="G102" s="47">
        <f t="shared" si="7"/>
        <v>39963.889999999992</v>
      </c>
      <c r="H102" s="79"/>
      <c r="I102" s="79" t="s">
        <v>220</v>
      </c>
      <c r="J102" s="79"/>
      <c r="K102" s="79" t="s">
        <v>272</v>
      </c>
      <c r="L102" s="41">
        <v>41974.07</v>
      </c>
    </row>
    <row r="103" spans="1:17" s="97" customFormat="1" thickBot="1" x14ac:dyDescent="0.25">
      <c r="A103" s="108" t="s">
        <v>226</v>
      </c>
      <c r="B103" s="109">
        <f>SUM(B53:B102)</f>
        <v>37257.440000000002</v>
      </c>
      <c r="C103" s="109">
        <f>SUM(C53:C102)</f>
        <v>12143.63</v>
      </c>
      <c r="D103" s="130">
        <f>+B103+C103</f>
        <v>49401.07</v>
      </c>
      <c r="E103" s="110"/>
      <c r="F103" s="109">
        <f>SUM(F53:F102)</f>
        <v>37378.699999999997</v>
      </c>
      <c r="G103" s="109">
        <f>+G52+D103-F103</f>
        <v>39963.89</v>
      </c>
      <c r="H103" s="95"/>
      <c r="I103" s="95"/>
      <c r="J103" s="95"/>
      <c r="K103" s="96"/>
      <c r="Q103" s="97" t="s">
        <v>185</v>
      </c>
    </row>
    <row r="104" spans="1:17" ht="13.8" thickBot="1" x14ac:dyDescent="0.3">
      <c r="A104" s="129"/>
      <c r="B104" s="127"/>
      <c r="C104" s="127"/>
      <c r="D104" s="128"/>
      <c r="E104" s="89"/>
      <c r="F104" s="128"/>
      <c r="G104" s="80">
        <f t="shared" si="2"/>
        <v>39963.89</v>
      </c>
      <c r="H104" s="81"/>
      <c r="I104" s="81"/>
      <c r="J104" s="81"/>
      <c r="K104" s="93"/>
    </row>
    <row r="105" spans="1:17" ht="13.8" thickBot="1" x14ac:dyDescent="0.3">
      <c r="A105" s="78" t="s">
        <v>122</v>
      </c>
      <c r="B105" s="77"/>
      <c r="C105" s="77"/>
      <c r="D105" s="82">
        <f>+D15+D29+D52+D103</f>
        <v>82733.820000000007</v>
      </c>
      <c r="E105" s="90"/>
      <c r="F105" s="82">
        <f>+F15+F29+F52+F103</f>
        <v>50074.42</v>
      </c>
      <c r="G105" s="82">
        <f>+F1+D105-F105</f>
        <v>39963.890000000014</v>
      </c>
      <c r="H105" s="75"/>
      <c r="I105" s="44"/>
      <c r="J105" s="44"/>
      <c r="K105" s="45"/>
    </row>
  </sheetData>
  <mergeCells count="2">
    <mergeCell ref="B4:D4"/>
    <mergeCell ref="E4:F4"/>
  </mergeCells>
  <pageMargins left="0.39370078740157483" right="0.39370078740157483" top="0.59055118110236227" bottom="0.59055118110236227" header="0" footer="0"/>
  <pageSetup scale="68" orientation="landscape" r:id="rId1"/>
  <colBreaks count="1" manualBreakCount="1">
    <brk id="11" max="1048575" man="1"/>
  </colBreaks>
  <ignoredErrors>
    <ignoredError sqref="D91:D93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M46"/>
  <sheetViews>
    <sheetView workbookViewId="0">
      <selection activeCell="H34" sqref="H34"/>
    </sheetView>
  </sheetViews>
  <sheetFormatPr defaultRowHeight="13.2" x14ac:dyDescent="0.25"/>
  <cols>
    <col min="2" max="2" width="10.88671875" customWidth="1"/>
    <col min="4" max="4" width="10.109375" bestFit="1" customWidth="1"/>
    <col min="8" max="8" width="12.33203125" bestFit="1" customWidth="1"/>
    <col min="10" max="10" width="5.5546875" customWidth="1"/>
    <col min="11" max="11" width="9.6640625" bestFit="1" customWidth="1"/>
    <col min="12" max="12" width="10.33203125" bestFit="1" customWidth="1"/>
    <col min="13" max="13" width="10.88671875" customWidth="1"/>
  </cols>
  <sheetData>
    <row r="5" spans="1:11" x14ac:dyDescent="0.25">
      <c r="D5" s="48" t="s">
        <v>61</v>
      </c>
    </row>
    <row r="6" spans="1:11" x14ac:dyDescent="0.25">
      <c r="D6" s="48"/>
    </row>
    <row r="7" spans="1:11" x14ac:dyDescent="0.25">
      <c r="D7" s="48" t="s">
        <v>62</v>
      </c>
    </row>
    <row r="11" spans="1:11" x14ac:dyDescent="0.25">
      <c r="A11" s="49"/>
      <c r="B11" s="49"/>
      <c r="C11" s="49"/>
      <c r="D11" s="49"/>
      <c r="E11" s="49"/>
    </row>
    <row r="12" spans="1:11" x14ac:dyDescent="0.25">
      <c r="A12" s="49" t="s">
        <v>63</v>
      </c>
      <c r="B12" s="49"/>
      <c r="C12" s="50"/>
      <c r="D12" s="106">
        <f>Budget!$J$2</f>
        <v>42452</v>
      </c>
      <c r="E12" s="72"/>
    </row>
    <row r="14" spans="1:11" x14ac:dyDescent="0.25">
      <c r="K14" s="49" t="s">
        <v>64</v>
      </c>
    </row>
    <row r="15" spans="1:11" x14ac:dyDescent="0.25">
      <c r="B15" t="s">
        <v>65</v>
      </c>
      <c r="H15" s="51">
        <v>59362.21</v>
      </c>
      <c r="I15" s="52"/>
      <c r="J15" s="53" t="s">
        <v>66</v>
      </c>
      <c r="K15" s="71" t="s">
        <v>281</v>
      </c>
    </row>
    <row r="17" spans="2:13" x14ac:dyDescent="0.25">
      <c r="B17" t="s">
        <v>67</v>
      </c>
    </row>
    <row r="18" spans="2:13" x14ac:dyDescent="0.25">
      <c r="B18" t="s">
        <v>68</v>
      </c>
    </row>
    <row r="19" spans="2:13" x14ac:dyDescent="0.25">
      <c r="B19" t="s">
        <v>69</v>
      </c>
      <c r="H19" s="54">
        <f>11717.1+635.14+1180</f>
        <v>13532.24</v>
      </c>
      <c r="I19" s="52"/>
      <c r="J19" s="53" t="s">
        <v>70</v>
      </c>
    </row>
    <row r="22" spans="2:13" x14ac:dyDescent="0.25">
      <c r="F22" t="s">
        <v>71</v>
      </c>
      <c r="H22" s="55">
        <f>+H19+H15</f>
        <v>72894.45</v>
      </c>
      <c r="I22" s="52"/>
      <c r="J22" s="53" t="s">
        <v>72</v>
      </c>
    </row>
    <row r="24" spans="2:13" x14ac:dyDescent="0.25">
      <c r="B24" t="s">
        <v>73</v>
      </c>
    </row>
    <row r="25" spans="2:13" x14ac:dyDescent="0.25">
      <c r="B25" t="s">
        <v>74</v>
      </c>
    </row>
    <row r="26" spans="2:13" x14ac:dyDescent="0.25">
      <c r="B26" t="s">
        <v>69</v>
      </c>
      <c r="H26" s="54">
        <f>7805.86-50.98+25175.68</f>
        <v>32930.559999999998</v>
      </c>
      <c r="I26" s="52"/>
      <c r="J26" s="53" t="s">
        <v>75</v>
      </c>
    </row>
    <row r="28" spans="2:13" x14ac:dyDescent="0.25">
      <c r="F28" t="s">
        <v>76</v>
      </c>
      <c r="H28" s="56">
        <f>H22-H26</f>
        <v>39963.89</v>
      </c>
      <c r="I28" s="52"/>
      <c r="J28" s="53" t="s">
        <v>77</v>
      </c>
    </row>
    <row r="30" spans="2:13" x14ac:dyDescent="0.25">
      <c r="L30" s="103"/>
      <c r="M30" s="103"/>
    </row>
    <row r="31" spans="2:13" x14ac:dyDescent="0.25">
      <c r="B31" s="53" t="s">
        <v>78</v>
      </c>
    </row>
    <row r="33" spans="2:12" x14ac:dyDescent="0.25">
      <c r="E33" t="s">
        <v>79</v>
      </c>
      <c r="H33" s="57">
        <v>39963.89</v>
      </c>
      <c r="I33" s="52"/>
      <c r="L33" s="103"/>
    </row>
    <row r="34" spans="2:12" x14ac:dyDescent="0.25">
      <c r="H34" s="103"/>
      <c r="J34" s="49"/>
    </row>
    <row r="35" spans="2:12" x14ac:dyDescent="0.25">
      <c r="H35" s="103"/>
    </row>
    <row r="39" spans="2:12" x14ac:dyDescent="0.25">
      <c r="B39" s="58"/>
      <c r="C39" s="58"/>
      <c r="D39" s="58"/>
      <c r="G39" s="58"/>
      <c r="H39" s="58"/>
      <c r="I39" s="58"/>
    </row>
    <row r="40" spans="2:12" x14ac:dyDescent="0.25">
      <c r="B40" t="s">
        <v>80</v>
      </c>
      <c r="G40" t="s">
        <v>47</v>
      </c>
    </row>
    <row r="42" spans="2:12" x14ac:dyDescent="0.25">
      <c r="B42" s="58"/>
      <c r="C42" s="58"/>
      <c r="D42" s="58"/>
      <c r="G42" s="58"/>
      <c r="H42" s="58"/>
      <c r="I42" s="58"/>
    </row>
    <row r="43" spans="2:12" x14ac:dyDescent="0.25">
      <c r="B43" t="s">
        <v>81</v>
      </c>
      <c r="G43" t="s">
        <v>47</v>
      </c>
    </row>
    <row r="45" spans="2:12" x14ac:dyDescent="0.25">
      <c r="B45" s="58"/>
      <c r="C45" s="58"/>
      <c r="D45" s="58"/>
      <c r="G45" s="58"/>
      <c r="H45" s="58"/>
      <c r="I45" s="58"/>
    </row>
    <row r="46" spans="2:12" x14ac:dyDescent="0.25">
      <c r="B46" t="s">
        <v>82</v>
      </c>
      <c r="G46" t="s">
        <v>47</v>
      </c>
    </row>
  </sheetData>
  <pageMargins left="0.19685039370078741" right="0.19685039370078741" top="0.74803149606299213" bottom="0.74803149606299213" header="0.31496062992125984" footer="0.31496062992125984"/>
  <pageSetup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L60"/>
  <sheetViews>
    <sheetView topLeftCell="A16" workbookViewId="0">
      <selection activeCell="O46" sqref="O46"/>
    </sheetView>
  </sheetViews>
  <sheetFormatPr defaultRowHeight="13.2" x14ac:dyDescent="0.25"/>
  <cols>
    <col min="1" max="1" width="12" customWidth="1"/>
    <col min="2" max="2" width="17" bestFit="1" customWidth="1"/>
    <col min="6" max="6" width="11.33203125" bestFit="1" customWidth="1"/>
    <col min="8" max="8" width="13.109375" customWidth="1"/>
    <col min="12" max="12" width="14.33203125" customWidth="1"/>
  </cols>
  <sheetData>
    <row r="4" spans="1:10" x14ac:dyDescent="0.25">
      <c r="D4" s="48" t="s">
        <v>61</v>
      </c>
    </row>
    <row r="5" spans="1:10" x14ac:dyDescent="0.25">
      <c r="D5" s="48"/>
    </row>
    <row r="6" spans="1:10" x14ac:dyDescent="0.25">
      <c r="D6" s="48" t="s">
        <v>83</v>
      </c>
    </row>
    <row r="9" spans="1:10" x14ac:dyDescent="0.25">
      <c r="A9" t="s">
        <v>84</v>
      </c>
      <c r="B9" s="59" t="s">
        <v>85</v>
      </c>
      <c r="C9" s="58"/>
      <c r="D9" s="58"/>
      <c r="E9" s="58"/>
    </row>
    <row r="11" spans="1:10" x14ac:dyDescent="0.25">
      <c r="A11" t="s">
        <v>86</v>
      </c>
      <c r="B11" s="106">
        <f>Budget!$J$2</f>
        <v>42452</v>
      </c>
      <c r="C11" s="72"/>
      <c r="D11" s="58"/>
      <c r="E11" s="58"/>
    </row>
    <row r="14" spans="1:10" x14ac:dyDescent="0.25">
      <c r="B14" t="s">
        <v>87</v>
      </c>
      <c r="H14" s="57">
        <v>27941.52</v>
      </c>
      <c r="I14" s="52"/>
      <c r="J14" s="53" t="s">
        <v>66</v>
      </c>
    </row>
    <row r="16" spans="1:10" x14ac:dyDescent="0.25">
      <c r="B16" t="s">
        <v>88</v>
      </c>
    </row>
    <row r="17" spans="2:10" x14ac:dyDescent="0.25">
      <c r="B17" s="118" t="s">
        <v>27</v>
      </c>
      <c r="C17" s="118"/>
      <c r="D17" s="118"/>
      <c r="E17" s="117"/>
      <c r="F17" s="119">
        <v>25240.59</v>
      </c>
    </row>
    <row r="18" spans="2:10" x14ac:dyDescent="0.25">
      <c r="B18" s="118" t="s">
        <v>21</v>
      </c>
      <c r="C18" s="118"/>
      <c r="D18" s="118"/>
      <c r="E18" s="117"/>
      <c r="F18" s="119">
        <v>2812.1</v>
      </c>
    </row>
    <row r="19" spans="2:10" x14ac:dyDescent="0.25">
      <c r="B19" s="118" t="s">
        <v>255</v>
      </c>
      <c r="C19" s="118"/>
      <c r="D19" s="118"/>
      <c r="E19" s="117"/>
      <c r="F19" s="119">
        <v>52.96</v>
      </c>
    </row>
    <row r="20" spans="2:10" x14ac:dyDescent="0.25">
      <c r="B20" s="137" t="s">
        <v>257</v>
      </c>
      <c r="C20" s="118"/>
      <c r="D20" s="118"/>
      <c r="E20" s="117"/>
      <c r="F20" s="119">
        <f>380.78+635.14</f>
        <v>1015.92</v>
      </c>
      <c r="H20" s="60"/>
      <c r="I20" s="60"/>
      <c r="J20" s="61"/>
    </row>
    <row r="21" spans="2:10" x14ac:dyDescent="0.25">
      <c r="B21" s="137" t="s">
        <v>277</v>
      </c>
      <c r="C21" s="118"/>
      <c r="D21" s="118"/>
      <c r="E21" s="117"/>
      <c r="F21" s="119">
        <f>10506+1180</f>
        <v>11686</v>
      </c>
    </row>
    <row r="22" spans="2:10" x14ac:dyDescent="0.25">
      <c r="B22" s="137" t="s">
        <v>0</v>
      </c>
      <c r="F22" s="138">
        <v>8593.5</v>
      </c>
    </row>
    <row r="23" spans="2:10" x14ac:dyDescent="0.25">
      <c r="B23" s="137"/>
      <c r="F23" s="138"/>
    </row>
    <row r="24" spans="2:10" x14ac:dyDescent="0.25">
      <c r="F24" t="s">
        <v>89</v>
      </c>
      <c r="H24" s="140">
        <f>SUM(F17:F22)</f>
        <v>49401.069999999992</v>
      </c>
      <c r="I24" s="52"/>
      <c r="J24" s="53" t="s">
        <v>70</v>
      </c>
    </row>
    <row r="26" spans="2:10" x14ac:dyDescent="0.25">
      <c r="B26" t="s">
        <v>90</v>
      </c>
    </row>
    <row r="28" spans="2:10" x14ac:dyDescent="0.25">
      <c r="B28" s="118" t="s">
        <v>91</v>
      </c>
      <c r="C28" s="60"/>
      <c r="D28" s="60"/>
      <c r="E28" s="120"/>
      <c r="F28" s="119">
        <f>121.08+25175.68</f>
        <v>25296.760000000002</v>
      </c>
      <c r="H28" s="60"/>
      <c r="I28" s="60"/>
      <c r="J28" s="61"/>
    </row>
    <row r="29" spans="2:10" x14ac:dyDescent="0.25">
      <c r="B29" s="118" t="s">
        <v>205</v>
      </c>
      <c r="C29" s="60"/>
      <c r="D29" s="60"/>
      <c r="E29" s="120"/>
      <c r="F29" s="121">
        <v>63.56</v>
      </c>
      <c r="H29" s="60"/>
      <c r="I29" s="60"/>
      <c r="J29" s="60"/>
    </row>
    <row r="30" spans="2:10" x14ac:dyDescent="0.25">
      <c r="B30" s="118" t="s">
        <v>278</v>
      </c>
      <c r="C30" s="60"/>
      <c r="D30" s="60"/>
      <c r="E30" s="120"/>
      <c r="F30" s="121">
        <v>299.45</v>
      </c>
      <c r="H30" s="60"/>
      <c r="I30" s="60"/>
      <c r="J30" s="60"/>
    </row>
    <row r="31" spans="2:10" x14ac:dyDescent="0.25">
      <c r="B31" s="139" t="s">
        <v>277</v>
      </c>
      <c r="C31" s="60"/>
      <c r="D31" s="60"/>
      <c r="E31" s="120"/>
      <c r="F31" s="119">
        <f>3477.42+946.68</f>
        <v>4424.1000000000004</v>
      </c>
      <c r="H31" s="60"/>
      <c r="I31" s="60"/>
      <c r="J31" s="60"/>
    </row>
    <row r="32" spans="2:10" x14ac:dyDescent="0.25">
      <c r="B32" s="118" t="s">
        <v>0</v>
      </c>
      <c r="C32" s="60"/>
      <c r="D32" s="60"/>
      <c r="E32" s="120"/>
      <c r="F32" s="121">
        <v>776</v>
      </c>
      <c r="H32" s="60"/>
      <c r="I32" s="60"/>
      <c r="J32" s="60"/>
    </row>
    <row r="33" spans="2:12" x14ac:dyDescent="0.25">
      <c r="B33" s="118" t="s">
        <v>178</v>
      </c>
      <c r="C33" s="60"/>
      <c r="D33" s="60"/>
      <c r="E33" s="120"/>
      <c r="F33" s="121">
        <v>1816.15</v>
      </c>
      <c r="H33" s="60"/>
      <c r="I33" s="60"/>
      <c r="J33" s="60"/>
    </row>
    <row r="34" spans="2:12" x14ac:dyDescent="0.25">
      <c r="B34" s="137" t="s">
        <v>124</v>
      </c>
      <c r="C34" s="60"/>
      <c r="D34" s="60"/>
      <c r="E34" s="120"/>
      <c r="F34" s="121">
        <v>4702.68</v>
      </c>
      <c r="H34" s="60"/>
      <c r="I34" s="60"/>
      <c r="J34" s="60"/>
    </row>
    <row r="35" spans="2:12" x14ac:dyDescent="0.25">
      <c r="B35" s="118"/>
      <c r="C35" s="60"/>
      <c r="D35" s="60"/>
      <c r="E35" s="120"/>
      <c r="F35" s="121">
        <v>0</v>
      </c>
      <c r="H35" s="60"/>
      <c r="I35" s="60"/>
      <c r="J35" s="60"/>
    </row>
    <row r="36" spans="2:12" x14ac:dyDescent="0.25">
      <c r="B36" s="118"/>
      <c r="C36" s="60"/>
      <c r="D36" s="60"/>
      <c r="E36" s="120"/>
      <c r="F36" s="121">
        <v>0</v>
      </c>
      <c r="H36" s="60"/>
      <c r="I36" s="60"/>
      <c r="J36" s="60"/>
    </row>
    <row r="37" spans="2:12" x14ac:dyDescent="0.25">
      <c r="B37" s="118"/>
      <c r="C37" s="60"/>
      <c r="D37" s="60"/>
      <c r="E37" s="120"/>
      <c r="F37" s="121">
        <v>0</v>
      </c>
      <c r="H37" s="60"/>
      <c r="I37" s="60"/>
      <c r="J37" s="60"/>
    </row>
    <row r="38" spans="2:12" x14ac:dyDescent="0.25">
      <c r="B38" s="118"/>
      <c r="C38" s="60"/>
      <c r="D38" s="60"/>
      <c r="E38" s="120"/>
      <c r="F38" s="121">
        <v>0</v>
      </c>
      <c r="H38" s="60"/>
      <c r="I38" s="60"/>
      <c r="J38" s="60"/>
    </row>
    <row r="39" spans="2:12" x14ac:dyDescent="0.25">
      <c r="B39" s="118"/>
      <c r="C39" s="60"/>
      <c r="D39" s="60"/>
      <c r="E39" s="120"/>
      <c r="F39" s="121">
        <v>0</v>
      </c>
      <c r="H39" s="60"/>
      <c r="I39" s="60"/>
      <c r="J39" s="60"/>
    </row>
    <row r="40" spans="2:12" x14ac:dyDescent="0.25">
      <c r="B40" s="118"/>
      <c r="C40" s="60"/>
      <c r="D40" s="60"/>
      <c r="E40" s="120"/>
      <c r="F40" s="121">
        <v>0</v>
      </c>
      <c r="H40" s="60"/>
      <c r="I40" s="60"/>
      <c r="J40" s="61"/>
    </row>
    <row r="42" spans="2:12" x14ac:dyDescent="0.25">
      <c r="F42" t="s">
        <v>92</v>
      </c>
      <c r="H42" s="57">
        <f>SUM(F28:F40)</f>
        <v>37378.700000000004</v>
      </c>
      <c r="I42" s="52"/>
      <c r="J42" s="53" t="s">
        <v>72</v>
      </c>
    </row>
    <row r="45" spans="2:12" x14ac:dyDescent="0.25">
      <c r="B45" s="53"/>
      <c r="C45" t="s">
        <v>93</v>
      </c>
      <c r="H45" s="56">
        <f>+H14+H24-H42</f>
        <v>39963.889999999992</v>
      </c>
      <c r="I45" s="52"/>
      <c r="J45" s="53" t="s">
        <v>75</v>
      </c>
      <c r="L45" s="103"/>
    </row>
    <row r="46" spans="2:12" x14ac:dyDescent="0.25">
      <c r="C46" s="49" t="s">
        <v>94</v>
      </c>
    </row>
    <row r="47" spans="2:12" x14ac:dyDescent="0.25">
      <c r="E47" s="60"/>
      <c r="F47" s="60"/>
      <c r="G47" s="60"/>
      <c r="H47" s="60"/>
      <c r="I47" s="60"/>
    </row>
    <row r="53" spans="2:9" x14ac:dyDescent="0.25">
      <c r="B53" s="58"/>
      <c r="C53" s="58"/>
      <c r="D53" s="58"/>
      <c r="G53" s="58"/>
      <c r="H53" s="58"/>
      <c r="I53" s="58"/>
    </row>
    <row r="54" spans="2:9" x14ac:dyDescent="0.25">
      <c r="B54" t="s">
        <v>80</v>
      </c>
      <c r="G54" t="s">
        <v>47</v>
      </c>
    </row>
    <row r="56" spans="2:9" x14ac:dyDescent="0.25">
      <c r="B56" s="58"/>
      <c r="C56" s="58"/>
      <c r="D56" s="58"/>
      <c r="G56" s="58"/>
      <c r="H56" s="58"/>
      <c r="I56" s="58"/>
    </row>
    <row r="57" spans="2:9" x14ac:dyDescent="0.25">
      <c r="B57" t="s">
        <v>81</v>
      </c>
      <c r="G57" t="s">
        <v>47</v>
      </c>
    </row>
    <row r="59" spans="2:9" x14ac:dyDescent="0.25">
      <c r="B59" s="58"/>
      <c r="C59" s="58"/>
      <c r="D59" s="58"/>
      <c r="G59" s="58"/>
      <c r="H59" s="58"/>
      <c r="I59" s="58"/>
    </row>
    <row r="60" spans="2:9" x14ac:dyDescent="0.25">
      <c r="B60" t="s">
        <v>82</v>
      </c>
      <c r="G60" t="s">
        <v>47</v>
      </c>
    </row>
  </sheetData>
  <sortState ref="B28:B34">
    <sortCondition ref="B28"/>
  </sortState>
  <pageMargins left="0.19685039370078741" right="0.19685039370078741" top="0.39370078740157483" bottom="0.39370078740157483" header="0" footer="0"/>
  <pageSetup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opLeftCell="A25" workbookViewId="0">
      <selection activeCell="H55" sqref="H55"/>
    </sheetView>
  </sheetViews>
  <sheetFormatPr defaultColWidth="9.109375" defaultRowHeight="13.8" x14ac:dyDescent="0.25"/>
  <cols>
    <col min="1" max="5" width="8.6640625" style="1" customWidth="1"/>
    <col min="6" max="6" width="9.6640625" style="1" customWidth="1"/>
    <col min="7" max="7" width="6.5546875" style="1" customWidth="1"/>
    <col min="8" max="8" width="15.109375" style="63" customWidth="1"/>
    <col min="9" max="9" width="10.6640625" style="1" customWidth="1"/>
    <col min="10" max="16384" width="9.109375" style="1"/>
  </cols>
  <sheetData>
    <row r="1" spans="1:9" x14ac:dyDescent="0.25">
      <c r="A1" s="167" t="s">
        <v>95</v>
      </c>
      <c r="B1" s="161"/>
      <c r="C1" s="161"/>
      <c r="D1" s="161"/>
      <c r="E1" s="161"/>
      <c r="F1" s="161"/>
      <c r="G1" s="161"/>
      <c r="H1" s="161"/>
      <c r="I1" s="161"/>
    </row>
    <row r="2" spans="1:9" x14ac:dyDescent="0.25">
      <c r="A2" s="167" t="s">
        <v>118</v>
      </c>
      <c r="B2" s="161"/>
      <c r="C2" s="161"/>
      <c r="D2" s="161"/>
      <c r="E2" s="161"/>
      <c r="F2" s="161"/>
      <c r="G2" s="161"/>
      <c r="H2" s="161"/>
      <c r="I2" s="161"/>
    </row>
    <row r="3" spans="1:9" x14ac:dyDescent="0.25">
      <c r="A3" s="16"/>
    </row>
    <row r="4" spans="1:9" x14ac:dyDescent="0.25">
      <c r="A4" s="160" t="s">
        <v>96</v>
      </c>
      <c r="B4" s="161"/>
      <c r="C4" s="161"/>
      <c r="D4" s="161"/>
      <c r="E4" s="161"/>
      <c r="F4" s="161"/>
      <c r="G4" s="161"/>
      <c r="H4" s="161"/>
      <c r="I4" s="161"/>
    </row>
    <row r="5" spans="1:9" x14ac:dyDescent="0.25">
      <c r="A5" s="16" t="s">
        <v>23</v>
      </c>
      <c r="G5" s="161"/>
      <c r="H5" s="161"/>
      <c r="I5" s="161"/>
    </row>
    <row r="6" spans="1:9" x14ac:dyDescent="0.25">
      <c r="A6" s="160"/>
      <c r="B6" s="161"/>
      <c r="C6" s="161"/>
      <c r="D6" s="161"/>
      <c r="E6" s="161"/>
      <c r="F6" s="161"/>
      <c r="G6" s="161"/>
      <c r="H6" s="161"/>
      <c r="I6" s="161"/>
    </row>
    <row r="7" spans="1:9" x14ac:dyDescent="0.25">
      <c r="A7" s="160" t="s">
        <v>35</v>
      </c>
      <c r="B7" s="161"/>
      <c r="C7" s="161"/>
      <c r="D7" s="161"/>
      <c r="E7" s="161"/>
      <c r="F7" s="161"/>
      <c r="G7" s="10"/>
      <c r="H7" s="64">
        <f>Budget!$H$5</f>
        <v>7304.49</v>
      </c>
      <c r="I7" s="6" t="s">
        <v>24</v>
      </c>
    </row>
    <row r="8" spans="1:9" s="2" customFormat="1" x14ac:dyDescent="0.25">
      <c r="A8" s="14"/>
      <c r="B8" s="6"/>
      <c r="C8" s="6"/>
      <c r="D8" s="6"/>
      <c r="H8" s="65"/>
    </row>
    <row r="9" spans="1:9" s="2" customFormat="1" x14ac:dyDescent="0.25">
      <c r="A9" s="162" t="s">
        <v>97</v>
      </c>
      <c r="B9" s="163"/>
      <c r="C9" s="163"/>
      <c r="D9" s="163"/>
      <c r="E9" s="163"/>
      <c r="F9" s="163"/>
      <c r="H9" s="65"/>
    </row>
    <row r="10" spans="1:9" s="2" customFormat="1" x14ac:dyDescent="0.25">
      <c r="A10" s="18" t="s">
        <v>27</v>
      </c>
      <c r="B10" s="99"/>
      <c r="C10" s="99"/>
      <c r="D10" s="99"/>
      <c r="E10" s="99"/>
      <c r="F10" s="99"/>
      <c r="H10" s="116">
        <f>Budget!$I$8</f>
        <v>25320.59</v>
      </c>
    </row>
    <row r="11" spans="1:9" s="2" customFormat="1" ht="16.5" customHeight="1" x14ac:dyDescent="0.25">
      <c r="A11" s="10" t="s">
        <v>20</v>
      </c>
      <c r="B11" s="10"/>
      <c r="C11" s="17"/>
      <c r="D11" s="17"/>
      <c r="E11" s="17"/>
      <c r="F11" s="17"/>
      <c r="H11" s="116">
        <f>Budget!I9</f>
        <v>397.55</v>
      </c>
      <c r="I11" s="3"/>
    </row>
    <row r="12" spans="1:9" s="2" customFormat="1" x14ac:dyDescent="0.25">
      <c r="A12" s="10" t="s">
        <v>19</v>
      </c>
      <c r="B12" s="10"/>
      <c r="C12" s="17"/>
      <c r="D12" s="17"/>
      <c r="E12" s="17"/>
      <c r="F12" s="17"/>
      <c r="H12" s="116">
        <f>Budget!I10</f>
        <v>1718.09</v>
      </c>
      <c r="I12" s="3"/>
    </row>
    <row r="13" spans="1:9" s="2" customFormat="1" x14ac:dyDescent="0.25">
      <c r="A13" s="10" t="s">
        <v>21</v>
      </c>
      <c r="B13" s="10"/>
      <c r="C13" s="17"/>
      <c r="D13" s="17"/>
      <c r="E13" s="17"/>
      <c r="F13" s="17"/>
      <c r="H13" s="116">
        <f>Budget!I11</f>
        <v>2812.1</v>
      </c>
      <c r="I13" s="3"/>
    </row>
    <row r="14" spans="1:9" s="2" customFormat="1" x14ac:dyDescent="0.25">
      <c r="A14" s="62" t="s">
        <v>123</v>
      </c>
      <c r="B14" s="62"/>
      <c r="C14" s="66"/>
      <c r="D14" s="66"/>
      <c r="E14" s="66"/>
      <c r="F14" s="66"/>
      <c r="H14" s="116">
        <f>Budget!$I$12</f>
        <v>1980</v>
      </c>
      <c r="I14" s="3"/>
    </row>
    <row r="15" spans="1:9" s="2" customFormat="1" x14ac:dyDescent="0.25">
      <c r="A15" s="10" t="s">
        <v>22</v>
      </c>
      <c r="B15" s="10"/>
      <c r="C15" s="17"/>
      <c r="D15" s="17"/>
      <c r="E15" s="17"/>
      <c r="F15" s="17"/>
      <c r="H15" s="116">
        <f>Budget!I13</f>
        <v>0</v>
      </c>
      <c r="I15" s="3"/>
    </row>
    <row r="16" spans="1:9" s="2" customFormat="1" x14ac:dyDescent="0.25">
      <c r="A16" s="132" t="s">
        <v>258</v>
      </c>
      <c r="B16" s="132"/>
      <c r="C16" s="133"/>
      <c r="D16" s="133"/>
      <c r="E16" s="133"/>
      <c r="F16" s="133"/>
      <c r="H16" s="116">
        <f>Budget!I14</f>
        <v>52.96</v>
      </c>
      <c r="I16" s="3"/>
    </row>
    <row r="17" spans="1:9" s="2" customFormat="1" x14ac:dyDescent="0.25">
      <c r="A17" s="132" t="s">
        <v>259</v>
      </c>
      <c r="B17" s="132"/>
      <c r="C17" s="133"/>
      <c r="D17" s="133"/>
      <c r="E17" s="133"/>
      <c r="F17" s="133"/>
      <c r="H17" s="116">
        <f>Budget!I15</f>
        <v>1015.92</v>
      </c>
      <c r="I17" s="3"/>
    </row>
    <row r="18" spans="1:9" s="2" customFormat="1" x14ac:dyDescent="0.25">
      <c r="A18" s="10" t="s">
        <v>0</v>
      </c>
      <c r="B18" s="10"/>
      <c r="C18" s="17"/>
      <c r="D18" s="17"/>
      <c r="E18" s="17"/>
      <c r="F18" s="17"/>
      <c r="H18" s="116">
        <f>Budget!I16</f>
        <v>16310.25</v>
      </c>
      <c r="I18" s="3"/>
    </row>
    <row r="19" spans="1:9" s="2" customFormat="1" x14ac:dyDescent="0.25">
      <c r="A19" s="62" t="s">
        <v>124</v>
      </c>
      <c r="B19" s="62"/>
      <c r="C19" s="66"/>
      <c r="D19" s="66"/>
      <c r="E19" s="66"/>
      <c r="F19" s="66"/>
      <c r="H19" s="116">
        <f>Budget!$I$17</f>
        <v>9192.91</v>
      </c>
      <c r="I19" s="3"/>
    </row>
    <row r="20" spans="1:9" s="2" customFormat="1" x14ac:dyDescent="0.25">
      <c r="A20" s="10" t="s">
        <v>5</v>
      </c>
      <c r="B20" s="10"/>
      <c r="C20" s="17"/>
      <c r="D20" s="17"/>
      <c r="E20" s="17"/>
      <c r="F20" s="17"/>
      <c r="H20" s="116">
        <f>Budget!$I$21</f>
        <v>12247.45</v>
      </c>
      <c r="I20" s="3"/>
    </row>
    <row r="21" spans="1:9" s="2" customFormat="1" x14ac:dyDescent="0.25">
      <c r="A21" s="10" t="s">
        <v>18</v>
      </c>
      <c r="B21" s="10"/>
      <c r="C21" s="17"/>
      <c r="D21" s="17"/>
      <c r="E21" s="17"/>
      <c r="F21" s="17"/>
      <c r="H21" s="116">
        <f>Budget!I22</f>
        <v>11686</v>
      </c>
      <c r="I21" s="3"/>
    </row>
    <row r="22" spans="1:9" s="2" customFormat="1" x14ac:dyDescent="0.25">
      <c r="A22" s="10" t="s">
        <v>17</v>
      </c>
      <c r="B22" s="10"/>
      <c r="C22" s="17"/>
      <c r="D22" s="17"/>
      <c r="E22" s="17"/>
      <c r="F22" s="17"/>
      <c r="H22" s="116">
        <f>Budget!I23</f>
        <v>0</v>
      </c>
      <c r="I22" s="3"/>
    </row>
    <row r="23" spans="1:9" s="2" customFormat="1" x14ac:dyDescent="0.25">
      <c r="A23" s="164" t="s">
        <v>25</v>
      </c>
      <c r="B23" s="165"/>
      <c r="C23" s="10"/>
      <c r="D23" s="10"/>
      <c r="E23" s="17"/>
      <c r="F23" s="17"/>
      <c r="H23" s="64">
        <f>SUM(H10:H22)</f>
        <v>82733.819999999992</v>
      </c>
      <c r="I23" s="6" t="s">
        <v>26</v>
      </c>
    </row>
    <row r="24" spans="1:9" x14ac:dyDescent="0.25">
      <c r="A24" s="6"/>
      <c r="B24" s="14"/>
      <c r="C24" s="6"/>
      <c r="D24" s="6"/>
    </row>
    <row r="25" spans="1:9" x14ac:dyDescent="0.25">
      <c r="A25" s="162" t="s">
        <v>99</v>
      </c>
      <c r="B25" s="166"/>
      <c r="C25" s="166"/>
      <c r="D25" s="166"/>
      <c r="E25" s="166"/>
      <c r="F25" s="166"/>
    </row>
    <row r="26" spans="1:9" ht="16.5" customHeight="1" x14ac:dyDescent="0.25">
      <c r="A26" s="10" t="s">
        <v>5</v>
      </c>
      <c r="B26" s="10"/>
      <c r="C26" s="15"/>
      <c r="D26" s="15"/>
      <c r="E26" s="15"/>
      <c r="F26" s="15"/>
      <c r="H26" s="116">
        <f>Budget!$I$29</f>
        <v>3260</v>
      </c>
      <c r="I26" s="3"/>
    </row>
    <row r="27" spans="1:9" x14ac:dyDescent="0.25">
      <c r="A27" s="10" t="s">
        <v>18</v>
      </c>
      <c r="B27" s="10"/>
      <c r="C27" s="15"/>
      <c r="D27" s="15"/>
      <c r="E27" s="15"/>
      <c r="F27" s="15"/>
      <c r="H27" s="116">
        <f>Budget!I30</f>
        <v>4424.1000000000004</v>
      </c>
      <c r="I27" s="3"/>
    </row>
    <row r="28" spans="1:9" x14ac:dyDescent="0.25">
      <c r="A28" s="10" t="s">
        <v>17</v>
      </c>
      <c r="B28" s="10"/>
      <c r="C28" s="15"/>
      <c r="D28" s="15"/>
      <c r="E28" s="15"/>
      <c r="F28" s="15"/>
      <c r="H28" s="116">
        <f>Budget!I31</f>
        <v>0</v>
      </c>
      <c r="I28" s="3"/>
    </row>
    <row r="29" spans="1:9" x14ac:dyDescent="0.25">
      <c r="A29" s="10" t="s">
        <v>14</v>
      </c>
      <c r="B29" s="10"/>
      <c r="C29" s="15"/>
      <c r="D29" s="15"/>
      <c r="E29" s="15"/>
      <c r="F29" s="15"/>
      <c r="H29" s="116">
        <f>Budget!I35</f>
        <v>0</v>
      </c>
      <c r="I29" s="3"/>
    </row>
    <row r="30" spans="1:9" x14ac:dyDescent="0.25">
      <c r="A30" s="10" t="s">
        <v>9</v>
      </c>
      <c r="B30" s="10"/>
      <c r="C30" s="15"/>
      <c r="D30" s="15"/>
      <c r="E30" s="15"/>
      <c r="F30" s="15"/>
      <c r="H30" s="116">
        <f>Budget!I36</f>
        <v>0</v>
      </c>
      <c r="I30" s="3"/>
    </row>
    <row r="31" spans="1:9" x14ac:dyDescent="0.25">
      <c r="A31" s="18" t="s">
        <v>27</v>
      </c>
      <c r="B31" s="10"/>
      <c r="C31" s="15"/>
      <c r="D31" s="15"/>
      <c r="E31" s="15"/>
      <c r="F31" s="15"/>
      <c r="H31" s="116">
        <f>Budget!I37</f>
        <v>25426.570000000003</v>
      </c>
      <c r="I31" s="3"/>
    </row>
    <row r="32" spans="1:9" x14ac:dyDescent="0.25">
      <c r="A32" s="10" t="s">
        <v>21</v>
      </c>
      <c r="B32" s="10"/>
      <c r="C32" s="15"/>
      <c r="D32" s="15"/>
      <c r="E32" s="15"/>
      <c r="F32" s="15"/>
      <c r="H32" s="116">
        <f>Budget!I38</f>
        <v>83.7</v>
      </c>
      <c r="I32" s="3"/>
    </row>
    <row r="33" spans="1:9" x14ac:dyDescent="0.25">
      <c r="A33" s="10" t="s">
        <v>13</v>
      </c>
      <c r="B33" s="10"/>
      <c r="C33" s="15"/>
      <c r="D33" s="15"/>
      <c r="E33" s="15"/>
      <c r="F33" s="15"/>
      <c r="H33" s="116">
        <f>Budget!I39</f>
        <v>300.01</v>
      </c>
      <c r="I33" s="3"/>
    </row>
    <row r="34" spans="1:9" x14ac:dyDescent="0.25">
      <c r="A34" s="10" t="s">
        <v>11</v>
      </c>
      <c r="B34" s="10"/>
      <c r="C34" s="15"/>
      <c r="D34" s="15"/>
      <c r="E34" s="15"/>
      <c r="F34" s="15"/>
      <c r="H34" s="116">
        <f>Budget!I40</f>
        <v>0</v>
      </c>
      <c r="I34" s="3"/>
    </row>
    <row r="35" spans="1:9" x14ac:dyDescent="0.25">
      <c r="A35" s="10" t="s">
        <v>4</v>
      </c>
      <c r="B35" s="10"/>
      <c r="C35" s="15"/>
      <c r="D35" s="15"/>
      <c r="E35" s="15"/>
      <c r="F35" s="15"/>
      <c r="H35" s="116">
        <f>Budget!I41</f>
        <v>0</v>
      </c>
      <c r="I35" s="3"/>
    </row>
    <row r="36" spans="1:9" x14ac:dyDescent="0.25">
      <c r="A36" s="62" t="s">
        <v>123</v>
      </c>
      <c r="B36" s="62"/>
      <c r="C36" s="67"/>
      <c r="D36" s="67"/>
      <c r="E36" s="67"/>
      <c r="F36" s="67"/>
      <c r="H36" s="116">
        <f>Budget!$I$42</f>
        <v>1583.6</v>
      </c>
      <c r="I36" s="3"/>
    </row>
    <row r="37" spans="1:9" x14ac:dyDescent="0.25">
      <c r="A37" s="10" t="s">
        <v>29</v>
      </c>
      <c r="B37" s="10"/>
      <c r="C37" s="15"/>
      <c r="D37" s="15"/>
      <c r="E37" s="15"/>
      <c r="F37" s="15"/>
      <c r="H37" s="116">
        <f>Budget!I43</f>
        <v>0</v>
      </c>
      <c r="I37" s="3"/>
    </row>
    <row r="38" spans="1:9" x14ac:dyDescent="0.25">
      <c r="A38" s="10" t="s">
        <v>40</v>
      </c>
      <c r="B38" s="10"/>
      <c r="C38" s="15"/>
      <c r="D38" s="15"/>
      <c r="E38" s="15"/>
      <c r="F38" s="15"/>
      <c r="H38" s="116">
        <f>Budget!I44</f>
        <v>0</v>
      </c>
      <c r="I38" s="3"/>
    </row>
    <row r="39" spans="1:9" x14ac:dyDescent="0.25">
      <c r="A39" s="10" t="s">
        <v>3</v>
      </c>
      <c r="B39" s="10"/>
      <c r="C39" s="15"/>
      <c r="D39" s="15"/>
      <c r="E39" s="15"/>
      <c r="F39" s="15"/>
      <c r="H39" s="116">
        <f>Budget!I45</f>
        <v>0</v>
      </c>
      <c r="I39" s="3"/>
    </row>
    <row r="40" spans="1:9" x14ac:dyDescent="0.25">
      <c r="A40" s="10" t="s">
        <v>10</v>
      </c>
      <c r="B40" s="10"/>
      <c r="C40" s="15"/>
      <c r="D40" s="15"/>
      <c r="E40" s="15"/>
      <c r="F40" s="15"/>
      <c r="H40" s="116">
        <f>Budget!I46</f>
        <v>0</v>
      </c>
      <c r="I40" s="3"/>
    </row>
    <row r="41" spans="1:9" x14ac:dyDescent="0.25">
      <c r="A41" s="10" t="s">
        <v>7</v>
      </c>
      <c r="B41" s="10"/>
      <c r="C41" s="15"/>
      <c r="D41" s="15"/>
      <c r="E41" s="15"/>
      <c r="F41" s="15"/>
      <c r="H41" s="116">
        <f>Budget!I47</f>
        <v>0</v>
      </c>
      <c r="I41" s="3"/>
    </row>
    <row r="42" spans="1:9" x14ac:dyDescent="0.25">
      <c r="A42" s="10" t="s">
        <v>6</v>
      </c>
      <c r="B42" s="10"/>
      <c r="C42" s="15"/>
      <c r="D42" s="15"/>
      <c r="E42" s="15"/>
      <c r="F42" s="15"/>
      <c r="H42" s="116">
        <f>Budget!I48</f>
        <v>0</v>
      </c>
      <c r="I42" s="3"/>
    </row>
    <row r="43" spans="1:9" x14ac:dyDescent="0.25">
      <c r="A43" s="10" t="s">
        <v>8</v>
      </c>
      <c r="B43" s="10"/>
      <c r="C43" s="15"/>
      <c r="D43" s="15"/>
      <c r="E43" s="15"/>
      <c r="F43" s="15"/>
      <c r="H43" s="116">
        <f>Budget!I49</f>
        <v>299.45</v>
      </c>
      <c r="I43" s="3"/>
    </row>
    <row r="44" spans="1:9" x14ac:dyDescent="0.25">
      <c r="A44" s="10" t="s">
        <v>12</v>
      </c>
      <c r="B44" s="10"/>
      <c r="C44" s="15"/>
      <c r="D44" s="15"/>
      <c r="E44" s="15"/>
      <c r="F44" s="15"/>
      <c r="H44" s="116">
        <f>Budget!I50</f>
        <v>0</v>
      </c>
      <c r="I44" s="3"/>
    </row>
    <row r="45" spans="1:9" x14ac:dyDescent="0.25">
      <c r="A45" s="10" t="s">
        <v>1</v>
      </c>
      <c r="B45" s="10"/>
      <c r="C45" s="15"/>
      <c r="D45" s="15"/>
      <c r="E45" s="15"/>
      <c r="F45" s="15"/>
      <c r="H45" s="116">
        <f>Budget!I51</f>
        <v>6541.31</v>
      </c>
      <c r="I45" s="3"/>
    </row>
    <row r="46" spans="1:9" x14ac:dyDescent="0.25">
      <c r="A46" s="10" t="s">
        <v>15</v>
      </c>
      <c r="B46" s="10"/>
      <c r="C46" s="15"/>
      <c r="D46" s="15"/>
      <c r="E46" s="15"/>
      <c r="F46" s="15"/>
      <c r="H46" s="116">
        <f>Budget!I52</f>
        <v>0</v>
      </c>
      <c r="I46" s="3"/>
    </row>
    <row r="47" spans="1:9" x14ac:dyDescent="0.25">
      <c r="A47" s="10" t="s">
        <v>42</v>
      </c>
      <c r="B47" s="10"/>
      <c r="C47" s="15"/>
      <c r="D47" s="15"/>
      <c r="E47" s="15"/>
      <c r="F47" s="15"/>
      <c r="H47" s="116">
        <f>Budget!I53</f>
        <v>1358</v>
      </c>
      <c r="I47" s="3"/>
    </row>
    <row r="48" spans="1:9" x14ac:dyDescent="0.25">
      <c r="A48" s="62" t="s">
        <v>124</v>
      </c>
      <c r="B48" s="62"/>
      <c r="C48" s="67"/>
      <c r="D48" s="67"/>
      <c r="E48" s="67"/>
      <c r="F48" s="67"/>
      <c r="H48" s="116">
        <f>Budget!$I$54</f>
        <v>6797.68</v>
      </c>
      <c r="I48" s="3"/>
    </row>
    <row r="49" spans="1:10" x14ac:dyDescent="0.25">
      <c r="A49" s="170" t="s">
        <v>100</v>
      </c>
      <c r="B49" s="170"/>
      <c r="C49" s="13"/>
      <c r="D49" s="6"/>
      <c r="H49" s="64">
        <f>SUM(H26:H48)</f>
        <v>50074.42</v>
      </c>
      <c r="I49" s="6" t="s">
        <v>28</v>
      </c>
    </row>
    <row r="50" spans="1:10" x14ac:dyDescent="0.25">
      <c r="A50" s="6"/>
      <c r="B50" s="14"/>
      <c r="C50" s="6"/>
      <c r="D50" s="6"/>
    </row>
    <row r="51" spans="1:10" x14ac:dyDescent="0.25">
      <c r="A51" s="6"/>
      <c r="B51" s="14"/>
      <c r="C51" s="6"/>
      <c r="D51" s="6"/>
    </row>
    <row r="52" spans="1:10" x14ac:dyDescent="0.25">
      <c r="A52" s="170" t="s">
        <v>120</v>
      </c>
      <c r="B52" s="170"/>
      <c r="C52" s="170"/>
      <c r="D52" s="6"/>
      <c r="H52" s="64">
        <f>SUM(H7+H23-H49)</f>
        <v>39963.89</v>
      </c>
      <c r="I52" s="168" t="s">
        <v>101</v>
      </c>
      <c r="J52" s="161"/>
    </row>
    <row r="53" spans="1:10" x14ac:dyDescent="0.25">
      <c r="A53" s="8"/>
      <c r="B53" s="8"/>
      <c r="C53" s="8"/>
      <c r="D53" s="6"/>
      <c r="H53" s="64"/>
      <c r="I53" s="6"/>
      <c r="J53" s="10"/>
    </row>
    <row r="54" spans="1:10" x14ac:dyDescent="0.25">
      <c r="A54" s="6"/>
      <c r="B54" s="14"/>
      <c r="C54" s="6"/>
      <c r="D54" s="14"/>
    </row>
    <row r="55" spans="1:10" x14ac:dyDescent="0.25">
      <c r="A55" s="170" t="s">
        <v>102</v>
      </c>
      <c r="B55" s="170"/>
      <c r="C55" s="170"/>
      <c r="D55" s="165"/>
      <c r="E55" s="165"/>
      <c r="H55" s="64">
        <f>+Budget!K55</f>
        <v>21840.36</v>
      </c>
      <c r="I55" s="6" t="s">
        <v>103</v>
      </c>
    </row>
    <row r="56" spans="1:10" x14ac:dyDescent="0.25">
      <c r="A56" s="168" t="s">
        <v>121</v>
      </c>
      <c r="B56" s="161"/>
      <c r="C56" s="161"/>
      <c r="D56" s="161"/>
      <c r="E56" s="161"/>
      <c r="F56" s="161"/>
      <c r="G56" s="161"/>
    </row>
    <row r="57" spans="1:10" x14ac:dyDescent="0.25">
      <c r="A57" s="6"/>
      <c r="B57" s="10"/>
      <c r="C57" s="10"/>
      <c r="D57" s="10"/>
      <c r="E57" s="10"/>
      <c r="F57" s="10"/>
      <c r="G57" s="10"/>
    </row>
    <row r="58" spans="1:10" x14ac:dyDescent="0.25">
      <c r="A58" s="6"/>
      <c r="B58" s="14"/>
      <c r="C58" s="6"/>
      <c r="D58" s="14"/>
    </row>
    <row r="59" spans="1:10" x14ac:dyDescent="0.25">
      <c r="A59" s="170" t="s">
        <v>104</v>
      </c>
      <c r="B59" s="165"/>
      <c r="C59" s="165"/>
      <c r="D59" s="165"/>
      <c r="E59" s="165"/>
      <c r="F59" s="165"/>
      <c r="G59" s="165"/>
      <c r="H59" s="64">
        <f>H52-H55</f>
        <v>18123.53</v>
      </c>
      <c r="I59" s="6" t="s">
        <v>105</v>
      </c>
    </row>
    <row r="60" spans="1:10" x14ac:dyDescent="0.25">
      <c r="A60" s="6"/>
      <c r="B60" s="12"/>
      <c r="C60" s="13"/>
      <c r="D60" s="14"/>
    </row>
    <row r="61" spans="1:10" x14ac:dyDescent="0.25">
      <c r="A61" s="6"/>
      <c r="B61" s="12"/>
      <c r="C61" s="13"/>
      <c r="D61" s="14"/>
    </row>
    <row r="62" spans="1:10" x14ac:dyDescent="0.25">
      <c r="A62" s="6"/>
      <c r="B62" s="12"/>
      <c r="C62" s="13"/>
      <c r="D62" s="14"/>
    </row>
    <row r="63" spans="1:10" x14ac:dyDescent="0.25">
      <c r="A63" s="6"/>
      <c r="B63" s="14"/>
      <c r="C63" s="6"/>
      <c r="D63" s="14"/>
    </row>
    <row r="64" spans="1:10" x14ac:dyDescent="0.25">
      <c r="A64" s="8" t="s">
        <v>106</v>
      </c>
      <c r="B64" s="14"/>
      <c r="C64" s="6"/>
      <c r="D64" s="14"/>
    </row>
    <row r="65" spans="1:9" x14ac:dyDescent="0.25">
      <c r="A65" s="168" t="s">
        <v>107</v>
      </c>
      <c r="B65" s="169"/>
      <c r="C65" s="169"/>
      <c r="D65" s="169"/>
      <c r="E65" s="169"/>
      <c r="F65" s="169"/>
      <c r="G65" s="169"/>
      <c r="H65" s="161"/>
      <c r="I65" s="161"/>
    </row>
    <row r="66" spans="1:9" x14ac:dyDescent="0.25">
      <c r="A66" s="6"/>
      <c r="B66" s="14"/>
      <c r="C66" s="6"/>
      <c r="D66" s="14"/>
    </row>
    <row r="67" spans="1:9" x14ac:dyDescent="0.25">
      <c r="A67" s="6"/>
      <c r="B67" s="14"/>
      <c r="C67" s="6"/>
      <c r="D67" s="14"/>
    </row>
    <row r="68" spans="1:9" x14ac:dyDescent="0.25">
      <c r="A68" s="170" t="s">
        <v>108</v>
      </c>
      <c r="B68" s="161"/>
      <c r="C68" s="161"/>
      <c r="D68" s="161"/>
      <c r="E68" s="161"/>
      <c r="F68" s="161"/>
      <c r="G68" s="161"/>
      <c r="H68" s="161"/>
      <c r="I68" s="161"/>
    </row>
    <row r="69" spans="1:9" x14ac:dyDescent="0.25">
      <c r="A69" s="6"/>
      <c r="B69" s="14"/>
      <c r="C69" s="6"/>
      <c r="D69" s="14"/>
    </row>
    <row r="70" spans="1:9" x14ac:dyDescent="0.25">
      <c r="A70" s="170" t="s">
        <v>109</v>
      </c>
      <c r="B70" s="171"/>
      <c r="C70" s="171"/>
      <c r="D70" s="14"/>
    </row>
    <row r="71" spans="1:9" x14ac:dyDescent="0.25">
      <c r="A71" s="168" t="s">
        <v>110</v>
      </c>
      <c r="B71" s="171"/>
      <c r="C71" s="171"/>
      <c r="D71" s="171"/>
      <c r="E71" s="161"/>
      <c r="H71" s="68">
        <v>0</v>
      </c>
    </row>
    <row r="72" spans="1:9" x14ac:dyDescent="0.25">
      <c r="A72" s="6"/>
      <c r="B72" s="14"/>
      <c r="C72" s="6"/>
      <c r="D72" s="14"/>
    </row>
    <row r="73" spans="1:9" x14ac:dyDescent="0.25">
      <c r="A73" s="168" t="s">
        <v>111</v>
      </c>
      <c r="B73" s="171"/>
      <c r="C73" s="171"/>
      <c r="D73" s="171"/>
      <c r="H73" s="69">
        <v>0</v>
      </c>
    </row>
    <row r="74" spans="1:9" x14ac:dyDescent="0.25">
      <c r="A74" s="6"/>
      <c r="B74" s="14"/>
      <c r="C74" s="6"/>
      <c r="D74" s="14"/>
      <c r="H74" s="69">
        <v>0</v>
      </c>
    </row>
    <row r="75" spans="1:9" x14ac:dyDescent="0.25">
      <c r="A75" s="6"/>
      <c r="B75" s="14"/>
      <c r="C75" s="6"/>
      <c r="D75" s="14"/>
      <c r="H75" s="70"/>
    </row>
    <row r="76" spans="1:9" x14ac:dyDescent="0.25">
      <c r="A76" s="170" t="s">
        <v>112</v>
      </c>
      <c r="B76" s="165"/>
      <c r="C76" s="165"/>
      <c r="D76" s="165"/>
      <c r="E76" s="165"/>
      <c r="F76" s="165"/>
      <c r="H76" s="64">
        <f>SUM(H71-H73-H74)</f>
        <v>0</v>
      </c>
    </row>
    <row r="77" spans="1:9" x14ac:dyDescent="0.25">
      <c r="A77" s="6"/>
      <c r="B77" s="14"/>
      <c r="C77" s="6"/>
      <c r="D77" s="14"/>
    </row>
    <row r="78" spans="1:9" x14ac:dyDescent="0.25">
      <c r="A78" s="6"/>
      <c r="B78" s="14"/>
      <c r="C78" s="6"/>
      <c r="D78" s="14"/>
    </row>
    <row r="79" spans="1:9" x14ac:dyDescent="0.25">
      <c r="A79" s="172" t="s">
        <v>98</v>
      </c>
      <c r="B79" s="172"/>
      <c r="C79" s="6"/>
      <c r="D79" s="14"/>
    </row>
    <row r="80" spans="1:9" x14ac:dyDescent="0.25">
      <c r="A80" s="168" t="s">
        <v>113</v>
      </c>
      <c r="B80" s="171"/>
      <c r="C80" s="171"/>
      <c r="D80" s="14"/>
      <c r="H80" s="69">
        <v>0</v>
      </c>
    </row>
    <row r="81" spans="1:8" x14ac:dyDescent="0.25">
      <c r="A81" s="6"/>
      <c r="B81" s="7"/>
      <c r="C81" s="7"/>
      <c r="D81" s="14"/>
    </row>
    <row r="82" spans="1:8" x14ac:dyDescent="0.25">
      <c r="A82" s="168" t="s">
        <v>114</v>
      </c>
      <c r="B82" s="171"/>
      <c r="C82" s="171"/>
      <c r="D82" s="14"/>
      <c r="H82" s="69">
        <v>0</v>
      </c>
    </row>
    <row r="83" spans="1:8" x14ac:dyDescent="0.25">
      <c r="A83" s="6"/>
      <c r="B83" s="7"/>
      <c r="C83" s="7"/>
      <c r="D83" s="14"/>
      <c r="H83" s="70"/>
    </row>
    <row r="84" spans="1:8" x14ac:dyDescent="0.25">
      <c r="A84" s="170" t="s">
        <v>115</v>
      </c>
      <c r="B84" s="170"/>
      <c r="C84" s="170"/>
      <c r="D84" s="171"/>
      <c r="H84" s="64">
        <f>SUM(H80-H82)</f>
        <v>0</v>
      </c>
    </row>
    <row r="85" spans="1:8" x14ac:dyDescent="0.25">
      <c r="A85" s="6"/>
    </row>
    <row r="86" spans="1:8" x14ac:dyDescent="0.25">
      <c r="A86" s="16"/>
    </row>
    <row r="87" spans="1:8" x14ac:dyDescent="0.25">
      <c r="A87" s="4"/>
    </row>
  </sheetData>
  <sortState ref="A25:H50">
    <sortCondition ref="A25"/>
  </sortState>
  <mergeCells count="26">
    <mergeCell ref="A82:C82"/>
    <mergeCell ref="A84:D84"/>
    <mergeCell ref="A70:C70"/>
    <mergeCell ref="A71:E71"/>
    <mergeCell ref="A73:D73"/>
    <mergeCell ref="A76:F76"/>
    <mergeCell ref="A79:B79"/>
    <mergeCell ref="A80:C80"/>
    <mergeCell ref="A65:I65"/>
    <mergeCell ref="A68:I68"/>
    <mergeCell ref="A49:B49"/>
    <mergeCell ref="A52:C52"/>
    <mergeCell ref="I52:J52"/>
    <mergeCell ref="A55:E55"/>
    <mergeCell ref="A56:G56"/>
    <mergeCell ref="A59:G59"/>
    <mergeCell ref="A7:F7"/>
    <mergeCell ref="A9:F9"/>
    <mergeCell ref="A23:B23"/>
    <mergeCell ref="A25:F25"/>
    <mergeCell ref="A1:I1"/>
    <mergeCell ref="A2:I2"/>
    <mergeCell ref="A4:C4"/>
    <mergeCell ref="D4:I4"/>
    <mergeCell ref="G5:I5"/>
    <mergeCell ref="A6:I6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18" sqref="W18"/>
    </sheetView>
  </sheetViews>
  <sheetFormatPr defaultRowHeight="13.2" x14ac:dyDescent="0.25"/>
  <sheetData/>
  <sortState ref="A2:I48">
    <sortCondition ref="I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Budget</vt:lpstr>
      <vt:lpstr>Ledger</vt:lpstr>
      <vt:lpstr>Bank Rec</vt:lpstr>
      <vt:lpstr>Treasurer Rpt</vt:lpstr>
      <vt:lpstr>Annual</vt:lpstr>
      <vt:lpstr>Sheet1</vt:lpstr>
      <vt:lpstr>Ledger!Print_Area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Carey Steinmetz</dc:creator>
  <cp:lastModifiedBy>Starwood Hotels and Resorts Worldwide, Inc.</cp:lastModifiedBy>
  <cp:lastPrinted>2015-11-25T17:03:32Z</cp:lastPrinted>
  <dcterms:created xsi:type="dcterms:W3CDTF">2012-10-28T02:54:11Z</dcterms:created>
  <dcterms:modified xsi:type="dcterms:W3CDTF">2017-01-18T03:22:35Z</dcterms:modified>
</cp:coreProperties>
</file>